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60" yWindow="0" windowWidth="8160" windowHeight="9240" tabRatio="602"/>
  </bookViews>
  <sheets>
    <sheet name="2016м" sheetId="23" r:id="rId1"/>
  </sheets>
  <definedNames>
    <definedName name="_xlnm._FilterDatabase" localSheetId="0" hidden="1">'2016м'!$A$66:$M$148</definedName>
    <definedName name="_xlnm.Print_Titles" localSheetId="0">'2016м'!$8:$12</definedName>
    <definedName name="_xlnm.Print_Area" localSheetId="0">'2016м'!$B$1:$O$152</definedName>
  </definedNames>
  <calcPr calcId="124519"/>
</workbook>
</file>

<file path=xl/calcChain.xml><?xml version="1.0" encoding="utf-8"?>
<calcChain xmlns="http://schemas.openxmlformats.org/spreadsheetml/2006/main">
  <c r="C47" i="23"/>
  <c r="C43"/>
  <c r="C42"/>
  <c r="C41"/>
  <c r="C39"/>
  <c r="C38"/>
  <c r="C37"/>
  <c r="C33"/>
  <c r="C23"/>
  <c r="C19"/>
  <c r="C18"/>
  <c r="L64" l="1"/>
  <c r="H41"/>
  <c r="L146" l="1"/>
  <c r="G146"/>
  <c r="C146"/>
  <c r="L145"/>
  <c r="G145"/>
  <c r="C145"/>
  <c r="O143"/>
  <c r="N143"/>
  <c r="M143"/>
  <c r="L143" s="1"/>
  <c r="K143"/>
  <c r="J143"/>
  <c r="I143"/>
  <c r="H143"/>
  <c r="G143" s="1"/>
  <c r="F143"/>
  <c r="E143"/>
  <c r="D143"/>
  <c r="C143"/>
  <c r="L141"/>
  <c r="G141"/>
  <c r="C141"/>
  <c r="L140"/>
  <c r="G140"/>
  <c r="C140"/>
  <c r="L139"/>
  <c r="G139"/>
  <c r="C139"/>
  <c r="L138"/>
  <c r="G138"/>
  <c r="C138"/>
  <c r="L137"/>
  <c r="G137"/>
  <c r="C137"/>
  <c r="O135"/>
  <c r="N135"/>
  <c r="M135"/>
  <c r="L135"/>
  <c r="K135"/>
  <c r="J135"/>
  <c r="I135"/>
  <c r="H135"/>
  <c r="G135" s="1"/>
  <c r="F135"/>
  <c r="E135"/>
  <c r="D135"/>
  <c r="C135"/>
  <c r="L134"/>
  <c r="G134"/>
  <c r="C134"/>
  <c r="L133"/>
  <c r="G133"/>
  <c r="C133"/>
  <c r="L132"/>
  <c r="G132"/>
  <c r="C132"/>
  <c r="L131"/>
  <c r="G131"/>
  <c r="C131"/>
  <c r="L130"/>
  <c r="G130"/>
  <c r="C130"/>
  <c r="L129"/>
  <c r="G129"/>
  <c r="C129"/>
  <c r="L128"/>
  <c r="G128"/>
  <c r="C128"/>
  <c r="L127"/>
  <c r="G127"/>
  <c r="C127"/>
  <c r="O125"/>
  <c r="N125"/>
  <c r="M125"/>
  <c r="L125"/>
  <c r="K125"/>
  <c r="J125"/>
  <c r="I125"/>
  <c r="H125"/>
  <c r="G125" s="1"/>
  <c r="F125"/>
  <c r="E125"/>
  <c r="D125"/>
  <c r="L124"/>
  <c r="G124"/>
  <c r="C124"/>
  <c r="O122"/>
  <c r="N122"/>
  <c r="M122"/>
  <c r="L122" s="1"/>
  <c r="K122"/>
  <c r="J122"/>
  <c r="I122"/>
  <c r="H122"/>
  <c r="G122" s="1"/>
  <c r="F122"/>
  <c r="E122"/>
  <c r="D122"/>
  <c r="C122" s="1"/>
  <c r="L121"/>
  <c r="G121"/>
  <c r="C121"/>
  <c r="L120"/>
  <c r="G120"/>
  <c r="C120"/>
  <c r="L119"/>
  <c r="G119"/>
  <c r="C119"/>
  <c r="L118"/>
  <c r="G118"/>
  <c r="C118"/>
  <c r="L117"/>
  <c r="G117"/>
  <c r="C117"/>
  <c r="O115"/>
  <c r="N115"/>
  <c r="M115"/>
  <c r="K115"/>
  <c r="J115"/>
  <c r="I115"/>
  <c r="H115"/>
  <c r="G115" s="1"/>
  <c r="F115"/>
  <c r="E115"/>
  <c r="D115"/>
  <c r="C115"/>
  <c r="L114"/>
  <c r="G114"/>
  <c r="C114"/>
  <c r="L113"/>
  <c r="G113"/>
  <c r="C113"/>
  <c r="L112"/>
  <c r="G112"/>
  <c r="C112"/>
  <c r="L111"/>
  <c r="G111"/>
  <c r="C111"/>
  <c r="L110"/>
  <c r="G110"/>
  <c r="L109"/>
  <c r="G109"/>
  <c r="C109"/>
  <c r="L108"/>
  <c r="G108"/>
  <c r="C108"/>
  <c r="O106"/>
  <c r="N106"/>
  <c r="M106"/>
  <c r="L106"/>
  <c r="K106"/>
  <c r="J106"/>
  <c r="I106"/>
  <c r="H106"/>
  <c r="G106" s="1"/>
  <c r="F106"/>
  <c r="E106"/>
  <c r="D106"/>
  <c r="C106" s="1"/>
  <c r="L105"/>
  <c r="G105"/>
  <c r="C105"/>
  <c r="L104"/>
  <c r="G104"/>
  <c r="C104"/>
  <c r="O102"/>
  <c r="N102"/>
  <c r="M102"/>
  <c r="K102"/>
  <c r="J102"/>
  <c r="I102"/>
  <c r="H102"/>
  <c r="F102"/>
  <c r="E102"/>
  <c r="D102"/>
  <c r="C102" s="1"/>
  <c r="L101"/>
  <c r="G101"/>
  <c r="C101"/>
  <c r="L100"/>
  <c r="G100"/>
  <c r="C100"/>
  <c r="L99"/>
  <c r="G99"/>
  <c r="C99"/>
  <c r="L98"/>
  <c r="J98"/>
  <c r="H98"/>
  <c r="G98" s="1"/>
  <c r="D98"/>
  <c r="C98" s="1"/>
  <c r="O97"/>
  <c r="N97"/>
  <c r="L97" s="1"/>
  <c r="J97"/>
  <c r="J94" s="1"/>
  <c r="G97"/>
  <c r="F97"/>
  <c r="E97"/>
  <c r="C97" s="1"/>
  <c r="L96"/>
  <c r="G96"/>
  <c r="C96"/>
  <c r="O94"/>
  <c r="N94"/>
  <c r="M94"/>
  <c r="L94" s="1"/>
  <c r="K94"/>
  <c r="I94"/>
  <c r="F94"/>
  <c r="D94"/>
  <c r="L93"/>
  <c r="G93"/>
  <c r="C93"/>
  <c r="L92"/>
  <c r="G92"/>
  <c r="C92"/>
  <c r="L91"/>
  <c r="G91"/>
  <c r="C91"/>
  <c r="L90"/>
  <c r="G90"/>
  <c r="C90"/>
  <c r="L89"/>
  <c r="G89"/>
  <c r="C89"/>
  <c r="L88"/>
  <c r="G88"/>
  <c r="C88"/>
  <c r="L87"/>
  <c r="G87"/>
  <c r="C87"/>
  <c r="L86"/>
  <c r="G86"/>
  <c r="C86"/>
  <c r="L85"/>
  <c r="H85"/>
  <c r="G85" s="1"/>
  <c r="C85"/>
  <c r="L84"/>
  <c r="G84"/>
  <c r="C84"/>
  <c r="L83"/>
  <c r="G83"/>
  <c r="C83"/>
  <c r="L82"/>
  <c r="G82"/>
  <c r="C82"/>
  <c r="O80"/>
  <c r="N80"/>
  <c r="M80"/>
  <c r="L80" s="1"/>
  <c r="K80"/>
  <c r="J80"/>
  <c r="I80"/>
  <c r="H80"/>
  <c r="G80" s="1"/>
  <c r="F80"/>
  <c r="E80"/>
  <c r="D80"/>
  <c r="L79"/>
  <c r="G79"/>
  <c r="C79"/>
  <c r="L78"/>
  <c r="G78"/>
  <c r="C78"/>
  <c r="O76"/>
  <c r="O71" s="1"/>
  <c r="O142" s="1"/>
  <c r="O147" s="1"/>
  <c r="N76"/>
  <c r="M76"/>
  <c r="L76" s="1"/>
  <c r="K76"/>
  <c r="J76"/>
  <c r="I76"/>
  <c r="H76"/>
  <c r="F76"/>
  <c r="E76"/>
  <c r="D76"/>
  <c r="L75"/>
  <c r="H75"/>
  <c r="G75" s="1"/>
  <c r="D75"/>
  <c r="C75" s="1"/>
  <c r="L74"/>
  <c r="H74"/>
  <c r="G74" s="1"/>
  <c r="D74"/>
  <c r="C74" s="1"/>
  <c r="L73"/>
  <c r="G73"/>
  <c r="D73"/>
  <c r="C73" s="1"/>
  <c r="N71"/>
  <c r="N142" s="1"/>
  <c r="N147" s="1"/>
  <c r="K71"/>
  <c r="K142" s="1"/>
  <c r="K147" s="1"/>
  <c r="J71"/>
  <c r="I71"/>
  <c r="F71"/>
  <c r="F142" s="1"/>
  <c r="F147" s="1"/>
  <c r="E71"/>
  <c r="L70"/>
  <c r="G70"/>
  <c r="C70"/>
  <c r="L69"/>
  <c r="G69"/>
  <c r="C69"/>
  <c r="L68"/>
  <c r="G68"/>
  <c r="C68"/>
  <c r="N63"/>
  <c r="O63" s="1"/>
  <c r="I63"/>
  <c r="J63" s="1"/>
  <c r="E63"/>
  <c r="F63" s="1"/>
  <c r="O62"/>
  <c r="N62"/>
  <c r="I62"/>
  <c r="J62" s="1"/>
  <c r="E62"/>
  <c r="F62" s="1"/>
  <c r="F59" s="1"/>
  <c r="F64" s="1"/>
  <c r="O61"/>
  <c r="N61"/>
  <c r="J61"/>
  <c r="I61"/>
  <c r="F61"/>
  <c r="E61"/>
  <c r="O60"/>
  <c r="N60"/>
  <c r="J60"/>
  <c r="I60"/>
  <c r="I59" s="1"/>
  <c r="F60"/>
  <c r="E60"/>
  <c r="E59" s="1"/>
  <c r="O59"/>
  <c r="N59"/>
  <c r="M59"/>
  <c r="M64" s="1"/>
  <c r="L59"/>
  <c r="H59"/>
  <c r="H64" s="1"/>
  <c r="G59"/>
  <c r="D59"/>
  <c r="D64" s="1"/>
  <c r="C59"/>
  <c r="C64" s="1"/>
  <c r="N58"/>
  <c r="G58"/>
  <c r="I58" s="1"/>
  <c r="E58"/>
  <c r="O57"/>
  <c r="N57"/>
  <c r="I57"/>
  <c r="E57"/>
  <c r="N56"/>
  <c r="I56"/>
  <c r="E56"/>
  <c r="N55"/>
  <c r="I55"/>
  <c r="N54"/>
  <c r="G54"/>
  <c r="I54" s="1"/>
  <c r="E54"/>
  <c r="N53"/>
  <c r="N52"/>
  <c r="M49"/>
  <c r="H49"/>
  <c r="D49"/>
  <c r="M47"/>
  <c r="M44" s="1"/>
  <c r="G47"/>
  <c r="H47" s="1"/>
  <c r="H44" s="1"/>
  <c r="D47"/>
  <c r="D44" s="1"/>
  <c r="O44"/>
  <c r="N44"/>
  <c r="L44"/>
  <c r="K44"/>
  <c r="J44"/>
  <c r="I44"/>
  <c r="G44"/>
  <c r="F44"/>
  <c r="E44"/>
  <c r="M43"/>
  <c r="G43"/>
  <c r="H43" s="1"/>
  <c r="D43"/>
  <c r="M42"/>
  <c r="G42"/>
  <c r="H42" s="1"/>
  <c r="D42"/>
  <c r="M41"/>
  <c r="G41"/>
  <c r="M40"/>
  <c r="H40"/>
  <c r="D40"/>
  <c r="M39"/>
  <c r="G39"/>
  <c r="H39" s="1"/>
  <c r="D39"/>
  <c r="M38"/>
  <c r="G38"/>
  <c r="H38" s="1"/>
  <c r="D38"/>
  <c r="M37"/>
  <c r="G37"/>
  <c r="H37" s="1"/>
  <c r="D37"/>
  <c r="O34"/>
  <c r="N34"/>
  <c r="L34"/>
  <c r="M34" s="1"/>
  <c r="K34"/>
  <c r="J34"/>
  <c r="I34"/>
  <c r="G34"/>
  <c r="H34" s="1"/>
  <c r="F34"/>
  <c r="E34"/>
  <c r="C34"/>
  <c r="D34" s="1"/>
  <c r="M33"/>
  <c r="G33"/>
  <c r="H33" s="1"/>
  <c r="D33"/>
  <c r="M32"/>
  <c r="M31"/>
  <c r="H31"/>
  <c r="D31"/>
  <c r="M30"/>
  <c r="H30"/>
  <c r="D30"/>
  <c r="M29"/>
  <c r="H29"/>
  <c r="D29"/>
  <c r="M28"/>
  <c r="H28"/>
  <c r="D28"/>
  <c r="M27"/>
  <c r="H27"/>
  <c r="D27"/>
  <c r="M26"/>
  <c r="H26"/>
  <c r="D26"/>
  <c r="L25"/>
  <c r="M25" s="1"/>
  <c r="K25"/>
  <c r="G25"/>
  <c r="H25" s="1"/>
  <c r="C25"/>
  <c r="D25" s="1"/>
  <c r="L24"/>
  <c r="M24" s="1"/>
  <c r="K24"/>
  <c r="G24"/>
  <c r="H24" s="1"/>
  <c r="C24"/>
  <c r="D24" s="1"/>
  <c r="M23"/>
  <c r="G23"/>
  <c r="H23" s="1"/>
  <c r="D23"/>
  <c r="M22"/>
  <c r="G22"/>
  <c r="H22" s="1"/>
  <c r="D22"/>
  <c r="M21"/>
  <c r="G21"/>
  <c r="H21" s="1"/>
  <c r="D21"/>
  <c r="M20"/>
  <c r="H20"/>
  <c r="D20"/>
  <c r="M19"/>
  <c r="G19"/>
  <c r="H19" s="1"/>
  <c r="D19"/>
  <c r="M18"/>
  <c r="G18"/>
  <c r="H18" s="1"/>
  <c r="D18"/>
  <c r="O15"/>
  <c r="O48" s="1"/>
  <c r="O50" s="1"/>
  <c r="N15"/>
  <c r="N48" s="1"/>
  <c r="N50" s="1"/>
  <c r="L15"/>
  <c r="L48" s="1"/>
  <c r="L50" s="1"/>
  <c r="L66" s="1"/>
  <c r="K15"/>
  <c r="K48" s="1"/>
  <c r="K50" s="1"/>
  <c r="K66" s="1"/>
  <c r="J15"/>
  <c r="J48" s="1"/>
  <c r="J50" s="1"/>
  <c r="I15"/>
  <c r="I48" s="1"/>
  <c r="I50" s="1"/>
  <c r="G15"/>
  <c r="G48" s="1"/>
  <c r="G50" s="1"/>
  <c r="F15"/>
  <c r="F48" s="1"/>
  <c r="F50" s="1"/>
  <c r="F66" s="1"/>
  <c r="E15"/>
  <c r="E48" s="1"/>
  <c r="E50" s="1"/>
  <c r="C15"/>
  <c r="I142" l="1"/>
  <c r="I147" s="1"/>
  <c r="E64"/>
  <c r="C76"/>
  <c r="C80"/>
  <c r="E66"/>
  <c r="L102"/>
  <c r="N64"/>
  <c r="N66" s="1"/>
  <c r="C125"/>
  <c r="C44"/>
  <c r="C48" s="1"/>
  <c r="C50" s="1"/>
  <c r="C66" s="1"/>
  <c r="I64"/>
  <c r="I66" s="1"/>
  <c r="O64"/>
  <c r="O66" s="1"/>
  <c r="J59"/>
  <c r="J64" s="1"/>
  <c r="J66" s="1"/>
  <c r="D71"/>
  <c r="H71"/>
  <c r="J142"/>
  <c r="J147" s="1"/>
  <c r="M71"/>
  <c r="M142" s="1"/>
  <c r="L142" s="1"/>
  <c r="L147" s="1"/>
  <c r="G76"/>
  <c r="E94"/>
  <c r="C94" s="1"/>
  <c r="H94"/>
  <c r="G94" s="1"/>
  <c r="G102"/>
  <c r="L115"/>
  <c r="M147"/>
  <c r="D15"/>
  <c r="D48" s="1"/>
  <c r="D50" s="1"/>
  <c r="D66" s="1"/>
  <c r="H15"/>
  <c r="H48" s="1"/>
  <c r="H50" s="1"/>
  <c r="H66" s="1"/>
  <c r="G64"/>
  <c r="G66" s="1"/>
  <c r="M15"/>
  <c r="M48" s="1"/>
  <c r="M50" s="1"/>
  <c r="M66" s="1"/>
  <c r="L71"/>
  <c r="D142" l="1"/>
  <c r="C71"/>
  <c r="E142"/>
  <c r="E147" s="1"/>
  <c r="H142"/>
  <c r="G71"/>
  <c r="G142" l="1"/>
  <c r="H147"/>
  <c r="G147" s="1"/>
  <c r="C142"/>
  <c r="D147"/>
  <c r="C147" s="1"/>
  <c r="K148" l="1"/>
  <c r="G148"/>
  <c r="C148"/>
</calcChain>
</file>

<file path=xl/sharedStrings.xml><?xml version="1.0" encoding="utf-8"?>
<sst xmlns="http://schemas.openxmlformats.org/spreadsheetml/2006/main" count="171" uniqueCount="143">
  <si>
    <t xml:space="preserve"> </t>
  </si>
  <si>
    <t xml:space="preserve">на </t>
  </si>
  <si>
    <t>ЗАГАЛЬНИЙ ФОНД</t>
  </si>
  <si>
    <t>СПЕЦІАЛЬНИЙ ФОНД</t>
  </si>
  <si>
    <t xml:space="preserve">   у тому числi:</t>
  </si>
  <si>
    <t>Інші видатки</t>
  </si>
  <si>
    <t>Інші установи та заклади</t>
  </si>
  <si>
    <t xml:space="preserve">Фiзична культура i спорт </t>
  </si>
  <si>
    <t>Інші заходи у сфері електротранспорту</t>
  </si>
  <si>
    <t>Резервний фонд</t>
  </si>
  <si>
    <t>Діяльність і послуги, не віднесені до інших категорій</t>
  </si>
  <si>
    <t>Запобігання та ліквідація надзвичайних ситуацій та наслідків стихійного лиха</t>
  </si>
  <si>
    <t xml:space="preserve">Освiта </t>
  </si>
  <si>
    <t>Соцiальний захист та соціальне забезпечення всього,</t>
  </si>
  <si>
    <t>у тому числі:</t>
  </si>
  <si>
    <t>Культура і мистецтво</t>
  </si>
  <si>
    <t>Інші заходи у сфері автомобільного транспорту</t>
  </si>
  <si>
    <t xml:space="preserve">      у тому числі:</t>
  </si>
  <si>
    <t>Надання пільгового довгострокового кредиту громадянам на будівництво (реконструкцію) та придбання житла</t>
  </si>
  <si>
    <t>Повернення коштів, наданих для кредитування громадян на будівництво (реконструкцію) та придбання житла</t>
  </si>
  <si>
    <t>Розробка схем та проектних рішень масового застосування</t>
  </si>
  <si>
    <t xml:space="preserve"> 01.10.2007</t>
  </si>
  <si>
    <t>загальний фонд</t>
  </si>
  <si>
    <t>спеціальний фонд</t>
  </si>
  <si>
    <t>Субвенції, одержані з державного та обласного  бюджетів</t>
  </si>
  <si>
    <t>Цільові фонди, утворені Верховною Радою Автономної Республіки Крим, органами місцевого самоврядування і місцевими органами виконавчої влади</t>
  </si>
  <si>
    <t>Д О Х О Д И</t>
  </si>
  <si>
    <t>інші надходження</t>
  </si>
  <si>
    <t>державне мито </t>
  </si>
  <si>
    <t>РАЗОМ ВИДАТКИ ТА КРЕДИТУВАННЯ БЮДЖЕТУ:</t>
  </si>
  <si>
    <t xml:space="preserve">2007 рік </t>
  </si>
  <si>
    <t xml:space="preserve">Охорона здоров'я </t>
  </si>
  <si>
    <t>З В І Т</t>
  </si>
  <si>
    <t>Інші послуги, пов'язані з економічною діяльністю</t>
  </si>
  <si>
    <t>Витрати, пов'язані з наданням та обслуговуванням пільгових довгострокових кредитів, наданих громадянам на будівництво (реконструкцію) та придбання житла</t>
  </si>
  <si>
    <t>Інші субвенції</t>
  </si>
  <si>
    <t>податок на прибуток підприємств та фінансових установ комунальної власності</t>
  </si>
  <si>
    <t>надходження від орендної плати за користування цілісним майновим комплексом та іншим майном, що перебуває в комунальній власності </t>
  </si>
  <si>
    <t xml:space="preserve"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 </t>
  </si>
  <si>
    <t xml:space="preserve">кошти від відчуження майна, що належить Автономній Республіці Крим та майна, що перебуває в комунальній власності </t>
  </si>
  <si>
    <t>УСЬОГО ВИДАТКІВ:</t>
  </si>
  <si>
    <t>у т.ч. бюджет розвитку</t>
  </si>
  <si>
    <t>тис.грн.</t>
  </si>
  <si>
    <t>частина чистого прибутку (доходу) комунальних унітарних підприємств та їх об'єднань, що вилучається до відповідного місцевого бюджету</t>
  </si>
  <si>
    <t>кошти від продажу землі</t>
  </si>
  <si>
    <t>надходження коштів пайової участі у розвитку інфраструктури населеного пункту</t>
  </si>
  <si>
    <t>Видатки, не вiднесенi до основних груп, усього,</t>
  </si>
  <si>
    <t>Показники міського бюджету</t>
  </si>
  <si>
    <t>Інші додаткові дотації</t>
  </si>
  <si>
    <t/>
  </si>
  <si>
    <t>ПОДАТКОВІ НАДХОДЖЕННЯ</t>
  </si>
  <si>
    <t xml:space="preserve">податок та збір на доходи фізичних осіб </t>
  </si>
  <si>
    <t>рентна плата за спеціальне використання лісових ресурсів 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</si>
  <si>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акцизний податок з реалізації суб’єктами господарювання  роздрібної торгівлі підакцизних товарів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</si>
  <si>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</si>
  <si>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</si>
  <si>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</si>
  <si>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</si>
  <si>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НЕПОДАТКОВІ НАДХОДЖЕННЯ</t>
  </si>
  <si>
    <t>ДОХОДИ ВІД ОПЕРАЦІЙ З КАПІТАЛОМ</t>
  </si>
  <si>
    <t>Субвенції, дотації, одержані з інших бюджетів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</si>
  <si>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 </t>
  </si>
  <si>
    <t>власні надходження бюджетних установ</t>
  </si>
  <si>
    <t xml:space="preserve">цільові фонди, утворені Верховною Радою Автономної Республіки Крим, органами місцевого самоврядування та місцевими органами виконавчої влади </t>
  </si>
  <si>
    <t xml:space="preserve">щодо виконання міського бюджету </t>
  </si>
  <si>
    <t>екологічний податок</t>
  </si>
  <si>
    <t>місцеві податки:</t>
  </si>
  <si>
    <t xml:space="preserve"> - податок на майно, у т.ч.</t>
  </si>
  <si>
    <t xml:space="preserve"> - єдиний податок</t>
  </si>
  <si>
    <t xml:space="preserve"> - збір за провадження деяких видів підприємницької діяльності, що справлявся до 1 січня 2015 року </t>
  </si>
  <si>
    <t>плата за розміщення тимчасово вільних коштів місцевих бюджетів </t>
  </si>
  <si>
    <t>адміністративні штрафи</t>
  </si>
  <si>
    <t>відсотки за користування довгостроковим кредитом, що надається з місцевих бюджетів молодим сім'ям та одиноким молодим громадянам на будівництво (реконструкцію) та придбання житла </t>
  </si>
  <si>
    <t>плата за надання  адміністративних послуг</t>
  </si>
  <si>
    <t>податок з власників транспортних засобів та інших самохідних машин і механізмів</t>
  </si>
  <si>
    <t>Житлово-комунальне господарство, усього,</t>
  </si>
  <si>
    <t>Будiвництво, усього,</t>
  </si>
  <si>
    <t>Транспорт, дорожнє господарство, зв'язок, телекомунікації та інформатика, усього,</t>
  </si>
  <si>
    <t>Цільові фонди, усього,</t>
  </si>
  <si>
    <t>Код ТПКВКМБ /
ТКВКБМС</t>
  </si>
  <si>
    <t>Затверджений план на 2017 рік</t>
  </si>
  <si>
    <t>Уточнений план на 2017 рік</t>
  </si>
  <si>
    <t xml:space="preserve">Уточнений план загального фонду на січень-червень 2017 року
</t>
  </si>
  <si>
    <t>Виконано станом на 01.07.2017</t>
  </si>
  <si>
    <t>акцизний податок з вироблених  в Україні підакцизних товарів (продукції)</t>
  </si>
  <si>
    <t>акцизний податок з ввезених на митну територію   України підакцизних товарів (продукції)</t>
  </si>
  <si>
    <t>транспортний податок з фізичних осіб</t>
  </si>
  <si>
    <t>транспортний податок з юридичних осіб</t>
  </si>
  <si>
    <t xml:space="preserve">В И Д А Т К И  </t>
  </si>
  <si>
    <t>0100</t>
  </si>
  <si>
    <t>Державне управління</t>
  </si>
  <si>
    <t>Надання пільг та житлових субсидій населенню на оплату електроенергії, природного газу, послуг тепло-, водопостачання і водовідведення, квартирної плати, вивезення побутового сміття та рідких нечистот</t>
  </si>
  <si>
    <t>Надання пільг та субсидій населенню на придбання твердого та рідкого пічного побутового палива і скрапленого газу</t>
  </si>
  <si>
    <t>Надання пільг з оплати послуг зв’язку та інших передбачених законодавством пільг (крім пільг на одержання ліків, зубопротезування, забезпечення продуктами харчування, оплату електроенергії, природного і скрапленого газу, на побутові потреби, твердого та рідкого пічного побутового палива, послуг тепло-, водопостачання і водовідведення, квартирної плати (утримання будинків і споруд та прибудинкових територій), вивезення побутового сміття та рідких нечистот) та компенсації за пільговий проїзд окремих категорій громадян</t>
  </si>
  <si>
    <t>Заклади і заходи з питань дітей та їх соціального захисту</t>
  </si>
  <si>
    <t>Утримання закладів, що надають соціальні послуги дітям, які опинились у складних життєвих обставинах</t>
  </si>
  <si>
    <t>Заходи державної політики з питань дітей та їх соціального захисту</t>
  </si>
  <si>
    <t>Здійснення соціальної роботи з вразливими категоріями населення</t>
  </si>
  <si>
    <t>Центри соціальних служб для сім'ї, дітей та молоді</t>
  </si>
  <si>
    <t>Заходи державної політики із забезпечення рівних прав та можливостей жінок та чоловіків</t>
  </si>
  <si>
    <t>Заходи державної політики з питань сім'ї</t>
  </si>
  <si>
    <t>Реалізація державної політики у молодіжній сфері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</si>
  <si>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</si>
  <si>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Надання пільг населенню (крім ветеранів війни і праці, військової служби, органів внутрішніх справ та громадян, які постраждали внаслідок Чорнобильської катастрофи), на оплату житлово-комунальних послуг і природного газу</t>
  </si>
  <si>
    <t>Соціальний захист ветеранів війни та праці</t>
  </si>
  <si>
    <t>Інші видатки на соціальний захист населення</t>
  </si>
  <si>
    <t>Забезпечення надійного та безперебійного функціонування житлово-експлуатаційного господарства</t>
  </si>
  <si>
    <t>Капітальний ремонт об’єктів житлового господарства</t>
  </si>
  <si>
    <t>Фінансова підтримка об’єктів комунального господарства</t>
  </si>
  <si>
    <t>Благоустрій міст, сіл, селищ</t>
  </si>
  <si>
    <t>Забезпечення функціонування комбінатів комунальних підприємств, районних виробничих об'єднань та інших підприємств, установ та організацій житлово-комунального господарства</t>
  </si>
  <si>
    <t>Погашення різниці між фактичною вартістю теплової енергії, послуг з централізованого опалення, постачання гарячої води, централізованого водопостачання та водовідведення, постачання холодної води та водовідведення (з використанням внутрішньобудинкових систем), що вироблялися, транспортувалися та постачалися населенню та/або іншим підприємствам теплопостачання, централізованого питного водопостачання та водовідведення, які надають населенню такі послуги, та тарифами, що затверджувалися та/або погоджувалися органами державної влади чи місцевого самоврядування</t>
  </si>
  <si>
    <t>Реалізація заходів щодо інвестиційного розвитку території</t>
  </si>
  <si>
    <t>Утримання та розвиток інфраструктури доріг</t>
  </si>
  <si>
    <t>Національна програма інформатизації</t>
  </si>
  <si>
    <t>Засоби масової iнформації</t>
  </si>
  <si>
    <t>Проведення заходів із землеустрою</t>
  </si>
  <si>
    <t>Заходи з енергозбереження</t>
  </si>
  <si>
    <t>Сприяння розвитку малого та середнього підприємництва</t>
  </si>
  <si>
    <t>Внески до статутного капіталу суб’єктів господарювання</t>
  </si>
  <si>
    <t>Інші заходи, пов'язані з економічною діяльністю</t>
  </si>
  <si>
    <t>Надання та повернення пільгового довгострокового кредиту на будівництво (реконструкцію) та придбання житла</t>
  </si>
  <si>
    <t xml:space="preserve">Реверсна дотація </t>
  </si>
  <si>
    <t xml:space="preserve">Субвенція з державного бюджету місцевим бюджетам на виплату допомоги сім'ям з дітьми, малозабезпеченим сім'ям, інвалідам з дитинства, дітям-інвалідам, тимчасової державної допомоги дітям та допомоги по догляду за інвалідами I чи II групи внаслідок психічного розладу </t>
  </si>
  <si>
    <t>Субвенція з державного бюджету місцевим бюджетам на виплату державної соціальної допомоги на дітей-сиріт та дітей, позбавлених батьківського піклування, грошового забезпечення батькам-вихователям і прийомним батькам за надання соціальних послуг у дитячих будинках сімейного типу та прийомних сім'ях за принципом "гроші ходять за дитиною", оплату послуг із здійснення патронату над дитиною та виплату соціальної допомоги на утримання дитини в сім'ї патронатного вихователя</t>
  </si>
  <si>
    <t>Субвенція з місцевого бюджету державному бюджету на виконання програм соціально-економічного та культурного розвитку регіонів</t>
  </si>
  <si>
    <t>Охорона та раціональне використання природних ресурсів</t>
  </si>
  <si>
    <t>Утилізація відходів</t>
  </si>
  <si>
    <t>Ліквідація іншого забруднення навколишнього природного середовища</t>
  </si>
  <si>
    <t>Інша діяльність у сфері охорони навколишнього природного середовища</t>
  </si>
  <si>
    <t>за І півріччя 2017 року</t>
  </si>
  <si>
    <t>УСЬОГО ДОХОДІВ ЗАГАЛЬНОГО ФОНДУ власних та закріплених:</t>
  </si>
  <si>
    <t>РАЗОМ ЗА ЗАГАЛЬНИМ ФОНДОМ ДОХОДІВ:</t>
  </si>
  <si>
    <t>у т. ч. бюджет розвитку (без трансфертів):</t>
  </si>
  <si>
    <t>РАЗОМ ЗА СПЕЦІАЛЬНИМ ФОНДОМ ДОХОДІВ:</t>
  </si>
  <si>
    <t>УСЬОГО ДОХОДІВ:</t>
  </si>
  <si>
    <t xml:space="preserve">Секретар міської ради </t>
  </si>
  <si>
    <t xml:space="preserve">                      С.Маляренко</t>
  </si>
  <si>
    <t>усього,</t>
  </si>
  <si>
    <t>збір за провадження торговельної діяльності нафтопродуктами, скрапленим та стиснутим газом на стаціонарних, малогабаритних і пересувних автозаправних станціях, заправних пунктах, що справлявся до 01 січня 2015 року </t>
  </si>
  <si>
    <t xml:space="preserve">                           26.07.2017 №1864</t>
  </si>
  <si>
    <t>Рішення міської ради</t>
  </si>
  <si>
    <t xml:space="preserve">                                            ЗАТВЕРДЖЕНО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</si>
</sst>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38">
    <font>
      <sz val="10"/>
      <name val="Arial Cyr"/>
      <charset val="204"/>
    </font>
    <font>
      <b/>
      <sz val="10"/>
      <name val="Arial Cyr"/>
      <family val="2"/>
      <charset val="204"/>
    </font>
    <font>
      <sz val="13"/>
      <name val="Arial Cyr"/>
      <family val="2"/>
      <charset val="204"/>
    </font>
    <font>
      <b/>
      <sz val="13"/>
      <name val="Arial Cyr"/>
      <family val="2"/>
      <charset val="204"/>
    </font>
    <font>
      <i/>
      <sz val="12"/>
      <name val="Arial Cyr"/>
      <charset val="204"/>
    </font>
    <font>
      <i/>
      <sz val="14"/>
      <name val="Arial Cyr"/>
      <charset val="204"/>
    </font>
    <font>
      <b/>
      <sz val="16"/>
      <name val="Arial Cyr"/>
      <family val="2"/>
      <charset val="204"/>
    </font>
    <font>
      <i/>
      <sz val="14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sz val="13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Arial Cyr"/>
      <family val="2"/>
      <charset val="204"/>
    </font>
    <font>
      <i/>
      <sz val="11"/>
      <name val="Times New Roman"/>
      <family val="1"/>
      <charset val="204"/>
    </font>
    <font>
      <sz val="22"/>
      <name val="Arial Cyr"/>
      <family val="2"/>
      <charset val="204"/>
    </font>
    <font>
      <b/>
      <i/>
      <sz val="22"/>
      <name val="Times New Roman"/>
      <family val="1"/>
      <charset val="204"/>
    </font>
    <font>
      <b/>
      <i/>
      <sz val="11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8"/>
      <name val="Arial Cyr"/>
      <family val="2"/>
      <charset val="204"/>
    </font>
    <font>
      <b/>
      <u/>
      <sz val="12"/>
      <name val="Times New Roman"/>
      <family val="1"/>
      <charset val="204"/>
    </font>
    <font>
      <b/>
      <i/>
      <sz val="27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25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26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u/>
      <sz val="13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b/>
      <sz val="12"/>
      <name val="Arial Cyr"/>
      <family val="2"/>
      <charset val="204"/>
    </font>
    <font>
      <sz val="12"/>
      <name val="Arial Cyr"/>
      <charset val="204"/>
    </font>
    <font>
      <b/>
      <sz val="12"/>
      <name val="Arial Cyr"/>
      <charset val="204"/>
    </font>
    <font>
      <sz val="12"/>
      <name val="Arial Cyr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theme="0" tint="-4.9989318521683403E-2"/>
      </bottom>
      <diagonal/>
    </border>
    <border>
      <left style="medium">
        <color indexed="64"/>
      </left>
      <right style="medium">
        <color indexed="64"/>
      </right>
      <top style="medium">
        <color theme="0" tint="-4.9989318521683403E-2"/>
      </top>
      <bottom/>
      <diagonal/>
    </border>
    <border>
      <left/>
      <right/>
      <top/>
      <bottom style="medium">
        <color theme="0" tint="-4.9989318521683403E-2"/>
      </bottom>
      <diagonal/>
    </border>
    <border>
      <left/>
      <right/>
      <top style="medium">
        <color theme="0" tint="-4.9989318521683403E-2"/>
      </top>
      <bottom/>
      <diagonal/>
    </border>
  </borders>
  <cellStyleXfs count="1">
    <xf numFmtId="0" fontId="0" fillId="0" borderId="0"/>
  </cellStyleXfs>
  <cellXfs count="167">
    <xf numFmtId="0" fontId="0" fillId="0" borderId="0" xfId="0"/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/>
    <xf numFmtId="0" fontId="1" fillId="0" borderId="0" xfId="0" applyFont="1" applyFill="1"/>
    <xf numFmtId="0" fontId="8" fillId="0" borderId="0" xfId="0" applyFont="1"/>
    <xf numFmtId="0" fontId="1" fillId="0" borderId="1" xfId="0" applyFont="1" applyFill="1" applyBorder="1" applyAlignment="1">
      <alignment horizontal="center" vertical="center"/>
    </xf>
    <xf numFmtId="0" fontId="4" fillId="0" borderId="0" xfId="0" applyFont="1" applyFill="1"/>
    <xf numFmtId="3" fontId="2" fillId="0" borderId="0" xfId="0" applyNumberFormat="1" applyFont="1" applyFill="1"/>
    <xf numFmtId="164" fontId="3" fillId="0" borderId="6" xfId="0" applyNumberFormat="1" applyFont="1" applyFill="1" applyBorder="1" applyAlignment="1">
      <alignment horizontal="center" vertical="center"/>
    </xf>
    <xf numFmtId="164" fontId="3" fillId="0" borderId="7" xfId="0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vertical="center" wrapText="1"/>
    </xf>
    <xf numFmtId="0" fontId="10" fillId="2" borderId="5" xfId="0" applyFont="1" applyFill="1" applyBorder="1" applyAlignment="1">
      <alignment vertical="center"/>
    </xf>
    <xf numFmtId="0" fontId="14" fillId="0" borderId="3" xfId="0" applyFont="1" applyFill="1" applyBorder="1" applyAlignment="1">
      <alignment vertical="center"/>
    </xf>
    <xf numFmtId="0" fontId="15" fillId="0" borderId="0" xfId="0" applyFont="1" applyFill="1"/>
    <xf numFmtId="0" fontId="16" fillId="0" borderId="0" xfId="0" applyFont="1"/>
    <xf numFmtId="164" fontId="3" fillId="0" borderId="8" xfId="0" applyNumberFormat="1" applyFont="1" applyFill="1" applyBorder="1" applyAlignment="1">
      <alignment horizontal="center" vertical="center"/>
    </xf>
    <xf numFmtId="164" fontId="19" fillId="0" borderId="0" xfId="0" applyNumberFormat="1" applyFont="1" applyFill="1" applyAlignment="1">
      <alignment horizontal="center" vertical="center"/>
    </xf>
    <xf numFmtId="164" fontId="2" fillId="6" borderId="0" xfId="0" applyNumberFormat="1" applyFont="1" applyFill="1" applyAlignment="1">
      <alignment horizontal="center" vertical="center"/>
    </xf>
    <xf numFmtId="164" fontId="6" fillId="6" borderId="0" xfId="0" applyNumberFormat="1" applyFont="1" applyFill="1" applyBorder="1" applyAlignment="1">
      <alignment horizontal="center" vertical="center"/>
    </xf>
    <xf numFmtId="0" fontId="2" fillId="6" borderId="0" xfId="0" applyFont="1" applyFill="1"/>
    <xf numFmtId="0" fontId="5" fillId="6" borderId="0" xfId="0" applyFont="1" applyFill="1" applyAlignment="1">
      <alignment horizontal="center"/>
    </xf>
    <xf numFmtId="0" fontId="1" fillId="6" borderId="0" xfId="0" applyFont="1" applyFill="1"/>
    <xf numFmtId="0" fontId="7" fillId="6" borderId="0" xfId="0" applyFont="1" applyFill="1"/>
    <xf numFmtId="0" fontId="0" fillId="0" borderId="0" xfId="0" applyFont="1"/>
    <xf numFmtId="0" fontId="0" fillId="0" borderId="0" xfId="0" applyFont="1" applyFill="1"/>
    <xf numFmtId="0" fontId="0" fillId="6" borderId="0" xfId="0" applyFont="1" applyFill="1"/>
    <xf numFmtId="164" fontId="2" fillId="6" borderId="0" xfId="0" applyNumberFormat="1" applyFont="1" applyFill="1"/>
    <xf numFmtId="164" fontId="2" fillId="0" borderId="0" xfId="0" applyNumberFormat="1" applyFont="1" applyFill="1"/>
    <xf numFmtId="0" fontId="0" fillId="3" borderId="0" xfId="0" applyFont="1" applyFill="1"/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164" fontId="11" fillId="0" borderId="3" xfId="0" applyNumberFormat="1" applyFont="1" applyFill="1" applyBorder="1" applyAlignment="1">
      <alignment horizontal="center" vertical="center"/>
    </xf>
    <xf numFmtId="164" fontId="11" fillId="0" borderId="0" xfId="0" applyNumberFormat="1" applyFont="1" applyFill="1" applyBorder="1" applyAlignment="1">
      <alignment horizontal="center" vertical="center"/>
    </xf>
    <xf numFmtId="0" fontId="25" fillId="0" borderId="0" xfId="0" applyFont="1"/>
    <xf numFmtId="164" fontId="3" fillId="7" borderId="6" xfId="0" applyNumberFormat="1" applyFont="1" applyFill="1" applyBorder="1" applyAlignment="1">
      <alignment horizontal="center" vertical="center"/>
    </xf>
    <xf numFmtId="164" fontId="3" fillId="0" borderId="12" xfId="0" applyNumberFormat="1" applyFont="1" applyFill="1" applyBorder="1" applyAlignment="1">
      <alignment horizontal="center" vertical="center"/>
    </xf>
    <xf numFmtId="2" fontId="27" fillId="0" borderId="12" xfId="0" applyNumberFormat="1" applyFont="1" applyFill="1" applyBorder="1" applyAlignment="1">
      <alignment horizontal="center" vertical="center"/>
    </xf>
    <xf numFmtId="165" fontId="27" fillId="0" borderId="6" xfId="0" applyNumberFormat="1" applyFont="1" applyFill="1" applyBorder="1" applyAlignment="1">
      <alignment horizontal="center" vertical="center"/>
    </xf>
    <xf numFmtId="165" fontId="27" fillId="0" borderId="7" xfId="0" applyNumberFormat="1" applyFont="1" applyFill="1" applyBorder="1" applyAlignment="1">
      <alignment horizontal="center" vertical="center"/>
    </xf>
    <xf numFmtId="165" fontId="27" fillId="7" borderId="6" xfId="0" applyNumberFormat="1" applyFont="1" applyFill="1" applyBorder="1" applyAlignment="1">
      <alignment horizontal="center" vertical="center"/>
    </xf>
    <xf numFmtId="165" fontId="27" fillId="0" borderId="12" xfId="0" applyNumberFormat="1" applyFont="1" applyFill="1" applyBorder="1" applyAlignment="1">
      <alignment horizontal="center" vertical="center"/>
    </xf>
    <xf numFmtId="165" fontId="0" fillId="0" borderId="6" xfId="0" applyNumberFormat="1" applyBorder="1"/>
    <xf numFmtId="0" fontId="12" fillId="0" borderId="3" xfId="0" applyFont="1" applyFill="1" applyBorder="1" applyAlignment="1">
      <alignment vertical="center"/>
    </xf>
    <xf numFmtId="164" fontId="10" fillId="0" borderId="1" xfId="0" applyNumberFormat="1" applyFont="1" applyFill="1" applyBorder="1" applyAlignment="1">
      <alignment horizontal="center" vertical="center"/>
    </xf>
    <xf numFmtId="164" fontId="10" fillId="0" borderId="3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center" vertical="center"/>
    </xf>
    <xf numFmtId="0" fontId="28" fillId="0" borderId="3" xfId="0" applyFont="1" applyFill="1" applyBorder="1" applyAlignment="1" applyProtection="1">
      <alignment vertical="center" wrapText="1"/>
    </xf>
    <xf numFmtId="164" fontId="29" fillId="0" borderId="1" xfId="0" applyNumberFormat="1" applyFont="1" applyFill="1" applyBorder="1" applyAlignment="1">
      <alignment horizontal="center" vertical="center"/>
    </xf>
    <xf numFmtId="164" fontId="29" fillId="0" borderId="3" xfId="0" applyNumberFormat="1" applyFont="1" applyFill="1" applyBorder="1" applyAlignment="1">
      <alignment horizontal="center" vertical="center"/>
    </xf>
    <xf numFmtId="164" fontId="29" fillId="0" borderId="0" xfId="0" applyNumberFormat="1" applyFont="1" applyFill="1" applyBorder="1" applyAlignment="1">
      <alignment horizontal="center" vertical="center"/>
    </xf>
    <xf numFmtId="0" fontId="22" fillId="0" borderId="3" xfId="0" applyFont="1" applyFill="1" applyBorder="1" applyAlignment="1" applyProtection="1">
      <alignment vertical="center" wrapText="1"/>
    </xf>
    <xf numFmtId="164" fontId="29" fillId="7" borderId="3" xfId="0" applyNumberFormat="1" applyFont="1" applyFill="1" applyBorder="1" applyAlignment="1">
      <alignment horizontal="center" vertical="center"/>
    </xf>
    <xf numFmtId="0" fontId="28" fillId="7" borderId="3" xfId="0" applyFont="1" applyFill="1" applyBorder="1" applyAlignment="1" applyProtection="1">
      <alignment vertical="center" wrapText="1"/>
    </xf>
    <xf numFmtId="164" fontId="29" fillId="7" borderId="1" xfId="0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</xf>
    <xf numFmtId="0" fontId="30" fillId="0" borderId="3" xfId="0" applyFont="1" applyFill="1" applyBorder="1" applyAlignment="1" applyProtection="1">
      <alignment vertical="center" wrapText="1"/>
    </xf>
    <xf numFmtId="164" fontId="7" fillId="0" borderId="1" xfId="0" applyNumberFormat="1" applyFont="1" applyFill="1" applyBorder="1" applyAlignment="1">
      <alignment horizontal="center" vertical="center"/>
    </xf>
    <xf numFmtId="164" fontId="7" fillId="0" borderId="3" xfId="0" applyNumberFormat="1" applyFont="1" applyFill="1" applyBorder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/>
    </xf>
    <xf numFmtId="0" fontId="31" fillId="4" borderId="5" xfId="0" applyFont="1" applyFill="1" applyBorder="1" applyAlignment="1" applyProtection="1">
      <alignment vertical="center"/>
    </xf>
    <xf numFmtId="164" fontId="10" fillId="4" borderId="2" xfId="0" applyNumberFormat="1" applyFont="1" applyFill="1" applyBorder="1" applyAlignment="1">
      <alignment horizontal="center" vertical="center"/>
    </xf>
    <xf numFmtId="164" fontId="10" fillId="4" borderId="5" xfId="0" applyNumberFormat="1" applyFont="1" applyFill="1" applyBorder="1" applyAlignment="1">
      <alignment horizontal="center" vertical="center"/>
    </xf>
    <xf numFmtId="164" fontId="10" fillId="4" borderId="9" xfId="0" applyNumberFormat="1" applyFont="1" applyFill="1" applyBorder="1" applyAlignment="1">
      <alignment horizontal="center" vertical="center"/>
    </xf>
    <xf numFmtId="164" fontId="29" fillId="0" borderId="3" xfId="0" applyNumberFormat="1" applyFont="1" applyFill="1" applyBorder="1" applyAlignment="1" applyProtection="1">
      <alignment horizontal="center" vertical="center"/>
    </xf>
    <xf numFmtId="164" fontId="29" fillId="0" borderId="0" xfId="0" applyNumberFormat="1" applyFont="1" applyFill="1" applyBorder="1" applyAlignment="1" applyProtection="1">
      <alignment horizontal="center" vertical="center"/>
    </xf>
    <xf numFmtId="164" fontId="29" fillId="0" borderId="1" xfId="0" applyNumberFormat="1" applyFont="1" applyFill="1" applyBorder="1" applyAlignment="1" applyProtection="1">
      <alignment horizontal="center" vertical="center"/>
    </xf>
    <xf numFmtId="0" fontId="31" fillId="0" borderId="3" xfId="0" applyFont="1" applyFill="1" applyBorder="1" applyAlignment="1" applyProtection="1">
      <alignment vertical="center"/>
    </xf>
    <xf numFmtId="164" fontId="32" fillId="0" borderId="1" xfId="0" applyNumberFormat="1" applyFont="1" applyFill="1" applyBorder="1" applyAlignment="1">
      <alignment horizontal="center" vertical="center"/>
    </xf>
    <xf numFmtId="164" fontId="32" fillId="0" borderId="3" xfId="0" applyNumberFormat="1" applyFont="1" applyFill="1" applyBorder="1" applyAlignment="1">
      <alignment horizontal="center" vertical="center"/>
    </xf>
    <xf numFmtId="164" fontId="32" fillId="0" borderId="0" xfId="0" applyNumberFormat="1" applyFont="1" applyFill="1" applyBorder="1" applyAlignment="1">
      <alignment horizontal="center" vertical="center"/>
    </xf>
    <xf numFmtId="164" fontId="32" fillId="0" borderId="6" xfId="0" applyNumberFormat="1" applyFont="1" applyFill="1" applyBorder="1" applyAlignment="1">
      <alignment horizontal="center" vertical="center"/>
    </xf>
    <xf numFmtId="164" fontId="33" fillId="0" borderId="3" xfId="0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vertical="center" wrapText="1"/>
    </xf>
    <xf numFmtId="0" fontId="28" fillId="0" borderId="3" xfId="0" applyFont="1" applyFill="1" applyBorder="1" applyAlignment="1" applyProtection="1">
      <alignment horizontal="left" vertical="center" wrapText="1"/>
    </xf>
    <xf numFmtId="0" fontId="22" fillId="0" borderId="3" xfId="0" applyFont="1" applyFill="1" applyBorder="1" applyAlignment="1">
      <alignment vertical="center" wrapText="1"/>
    </xf>
    <xf numFmtId="0" fontId="31" fillId="5" borderId="5" xfId="0" applyFont="1" applyFill="1" applyBorder="1" applyAlignment="1" applyProtection="1">
      <alignment vertical="center"/>
    </xf>
    <xf numFmtId="164" fontId="10" fillId="5" borderId="5" xfId="0" applyNumberFormat="1" applyFont="1" applyFill="1" applyBorder="1" applyAlignment="1">
      <alignment horizontal="center" vertical="center"/>
    </xf>
    <xf numFmtId="164" fontId="32" fillId="5" borderId="5" xfId="0" applyNumberFormat="1" applyFont="1" applyFill="1" applyBorder="1" applyAlignment="1">
      <alignment horizontal="center" vertical="center"/>
    </xf>
    <xf numFmtId="164" fontId="10" fillId="5" borderId="2" xfId="0" applyNumberFormat="1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vertical="center"/>
    </xf>
    <xf numFmtId="164" fontId="10" fillId="5" borderId="9" xfId="0" applyNumberFormat="1" applyFont="1" applyFill="1" applyBorder="1" applyAlignment="1">
      <alignment horizontal="center" vertical="center"/>
    </xf>
    <xf numFmtId="49" fontId="34" fillId="0" borderId="1" xfId="0" applyNumberFormat="1" applyFont="1" applyFill="1" applyBorder="1" applyAlignment="1">
      <alignment horizontal="center" vertical="center"/>
    </xf>
    <xf numFmtId="164" fontId="10" fillId="7" borderId="3" xfId="0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24" fillId="0" borderId="3" xfId="0" applyFont="1" applyFill="1" applyBorder="1" applyAlignment="1">
      <alignment vertical="center"/>
    </xf>
    <xf numFmtId="0" fontId="22" fillId="0" borderId="14" xfId="0" applyFont="1" applyFill="1" applyBorder="1" applyAlignment="1">
      <alignment vertical="center" wrapText="1"/>
    </xf>
    <xf numFmtId="164" fontId="29" fillId="0" borderId="14" xfId="0" applyNumberFormat="1" applyFont="1" applyFill="1" applyBorder="1" applyAlignment="1">
      <alignment horizontal="center" vertical="center"/>
    </xf>
    <xf numFmtId="164" fontId="29" fillId="0" borderId="16" xfId="0" applyNumberFormat="1" applyFont="1" applyFill="1" applyBorder="1" applyAlignment="1">
      <alignment horizontal="center" vertical="center"/>
    </xf>
    <xf numFmtId="164" fontId="29" fillId="7" borderId="14" xfId="0" applyNumberFormat="1" applyFont="1" applyFill="1" applyBorder="1" applyAlignment="1">
      <alignment horizontal="center" vertical="center"/>
    </xf>
    <xf numFmtId="0" fontId="22" fillId="0" borderId="3" xfId="0" applyFont="1" applyFill="1" applyBorder="1" applyAlignment="1">
      <alignment horizontal="left" vertical="center" wrapText="1"/>
    </xf>
    <xf numFmtId="0" fontId="24" fillId="0" borderId="3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164" fontId="7" fillId="7" borderId="3" xfId="0" applyNumberFormat="1" applyFont="1" applyFill="1" applyBorder="1" applyAlignment="1">
      <alignment horizontal="center" vertical="center"/>
    </xf>
    <xf numFmtId="0" fontId="24" fillId="0" borderId="3" xfId="0" applyFont="1" applyFill="1" applyBorder="1" applyAlignment="1">
      <alignment horizontal="left" vertical="center" wrapText="1"/>
    </xf>
    <xf numFmtId="0" fontId="22" fillId="0" borderId="3" xfId="0" applyFont="1" applyFill="1" applyBorder="1" applyAlignment="1">
      <alignment vertical="center"/>
    </xf>
    <xf numFmtId="0" fontId="35" fillId="7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vertical="center" wrapText="1"/>
    </xf>
    <xf numFmtId="164" fontId="10" fillId="0" borderId="15" xfId="0" applyNumberFormat="1" applyFont="1" applyFill="1" applyBorder="1" applyAlignment="1">
      <alignment horizontal="center" vertical="center"/>
    </xf>
    <xf numFmtId="164" fontId="10" fillId="0" borderId="17" xfId="0" applyNumberFormat="1" applyFont="1" applyFill="1" applyBorder="1" applyAlignment="1">
      <alignment horizontal="center" vertical="center"/>
    </xf>
    <xf numFmtId="164" fontId="10" fillId="7" borderId="15" xfId="0" applyNumberFormat="1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/>
    </xf>
    <xf numFmtId="164" fontId="10" fillId="2" borderId="5" xfId="0" applyNumberFormat="1" applyFont="1" applyFill="1" applyBorder="1" applyAlignment="1">
      <alignment horizontal="center" vertical="center"/>
    </xf>
    <xf numFmtId="164" fontId="10" fillId="8" borderId="5" xfId="0" applyNumberFormat="1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vertical="center"/>
    </xf>
    <xf numFmtId="0" fontId="28" fillId="0" borderId="4" xfId="0" applyFont="1" applyFill="1" applyBorder="1" applyAlignment="1" applyProtection="1">
      <alignment vertical="center" wrapText="1"/>
    </xf>
    <xf numFmtId="164" fontId="29" fillId="0" borderId="10" xfId="0" applyNumberFormat="1" applyFont="1" applyFill="1" applyBorder="1" applyAlignment="1">
      <alignment horizontal="center" vertical="center"/>
    </xf>
    <xf numFmtId="164" fontId="29" fillId="0" borderId="4" xfId="0" applyNumberFormat="1" applyFont="1" applyFill="1" applyBorder="1" applyAlignment="1">
      <alignment horizontal="center" vertical="center"/>
    </xf>
    <xf numFmtId="164" fontId="29" fillId="0" borderId="11" xfId="0" applyNumberFormat="1" applyFont="1" applyFill="1" applyBorder="1" applyAlignment="1">
      <alignment horizontal="center" vertical="center"/>
    </xf>
    <xf numFmtId="0" fontId="28" fillId="0" borderId="6" xfId="0" applyFont="1" applyFill="1" applyBorder="1" applyAlignment="1" applyProtection="1">
      <alignment vertical="center" wrapText="1"/>
    </xf>
    <xf numFmtId="164" fontId="29" fillId="0" borderId="12" xfId="0" applyNumberFormat="1" applyFont="1" applyFill="1" applyBorder="1" applyAlignment="1">
      <alignment horizontal="center" vertical="center"/>
    </xf>
    <xf numFmtId="164" fontId="29" fillId="0" borderId="6" xfId="0" applyNumberFormat="1" applyFont="1" applyFill="1" applyBorder="1" applyAlignment="1">
      <alignment horizontal="center" vertical="center"/>
    </xf>
    <xf numFmtId="164" fontId="29" fillId="0" borderId="7" xfId="0" applyNumberFormat="1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vertical="center" wrapText="1"/>
    </xf>
    <xf numFmtId="164" fontId="29" fillId="7" borderId="10" xfId="0" applyNumberFormat="1" applyFont="1" applyFill="1" applyBorder="1" applyAlignment="1">
      <alignment horizontal="center" vertical="center"/>
    </xf>
    <xf numFmtId="164" fontId="33" fillId="0" borderId="4" xfId="0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vertical="center"/>
    </xf>
    <xf numFmtId="164" fontId="10" fillId="0" borderId="4" xfId="0" applyNumberFormat="1" applyFont="1" applyFill="1" applyBorder="1" applyAlignment="1">
      <alignment horizontal="center" vertical="center"/>
    </xf>
    <xf numFmtId="164" fontId="10" fillId="0" borderId="11" xfId="0" applyNumberFormat="1" applyFont="1" applyFill="1" applyBorder="1" applyAlignment="1">
      <alignment horizontal="center" vertical="center"/>
    </xf>
    <xf numFmtId="164" fontId="10" fillId="7" borderId="4" xfId="0" applyNumberFormat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vertical="center"/>
    </xf>
    <xf numFmtId="164" fontId="10" fillId="0" borderId="6" xfId="0" applyNumberFormat="1" applyFont="1" applyFill="1" applyBorder="1" applyAlignment="1">
      <alignment horizontal="center" vertical="center"/>
    </xf>
    <xf numFmtId="164" fontId="10" fillId="0" borderId="7" xfId="0" applyNumberFormat="1" applyFont="1" applyFill="1" applyBorder="1" applyAlignment="1">
      <alignment horizontal="center" vertical="center"/>
    </xf>
    <xf numFmtId="164" fontId="10" fillId="7" borderId="6" xfId="0" applyNumberFormat="1" applyFont="1" applyFill="1" applyBorder="1" applyAlignment="1">
      <alignment horizontal="center" vertical="center"/>
    </xf>
    <xf numFmtId="164" fontId="29" fillId="7" borderId="4" xfId="0" applyNumberFormat="1" applyFont="1" applyFill="1" applyBorder="1" applyAlignment="1">
      <alignment horizontal="center" vertical="center"/>
    </xf>
    <xf numFmtId="0" fontId="24" fillId="0" borderId="6" xfId="0" applyFont="1" applyFill="1" applyBorder="1" applyAlignment="1">
      <alignment vertical="center" wrapText="1"/>
    </xf>
    <xf numFmtId="164" fontId="29" fillId="7" borderId="6" xfId="0" applyNumberFormat="1" applyFont="1" applyFill="1" applyBorder="1" applyAlignment="1">
      <alignment horizontal="center" vertical="center"/>
    </xf>
    <xf numFmtId="0" fontId="21" fillId="0" borderId="0" xfId="0" applyFont="1" applyFill="1" applyAlignment="1">
      <alignment horizontal="left"/>
    </xf>
    <xf numFmtId="0" fontId="17" fillId="0" borderId="6" xfId="0" applyFont="1" applyFill="1" applyBorder="1" applyAlignment="1" applyProtection="1">
      <alignment horizontal="center" vertical="center" wrapText="1"/>
    </xf>
    <xf numFmtId="0" fontId="17" fillId="0" borderId="3" xfId="0" applyFont="1" applyFill="1" applyBorder="1" applyAlignment="1" applyProtection="1">
      <alignment horizontal="center" vertical="center" wrapText="1"/>
    </xf>
    <xf numFmtId="0" fontId="17" fillId="0" borderId="4" xfId="0" applyFont="1" applyFill="1" applyBorder="1" applyAlignment="1" applyProtection="1">
      <alignment horizontal="center" vertical="center" wrapText="1"/>
    </xf>
    <xf numFmtId="0" fontId="17" fillId="7" borderId="7" xfId="0" applyFont="1" applyFill="1" applyBorder="1" applyAlignment="1" applyProtection="1">
      <alignment horizontal="center" vertical="center" wrapText="1"/>
    </xf>
    <xf numFmtId="0" fontId="17" fillId="7" borderId="0" xfId="0" applyFont="1" applyFill="1" applyBorder="1" applyAlignment="1">
      <alignment horizontal="center" vertical="center" wrapText="1"/>
    </xf>
    <xf numFmtId="0" fontId="17" fillId="7" borderId="11" xfId="0" applyFont="1" applyFill="1" applyBorder="1" applyAlignment="1">
      <alignment horizontal="center" vertical="center" wrapText="1"/>
    </xf>
    <xf numFmtId="0" fontId="17" fillId="7" borderId="6" xfId="0" applyFont="1" applyFill="1" applyBorder="1" applyAlignment="1" applyProtection="1">
      <alignment horizontal="center" vertical="center" wrapText="1"/>
    </xf>
    <xf numFmtId="0" fontId="17" fillId="7" borderId="3" xfId="0" applyFont="1" applyFill="1" applyBorder="1" applyAlignment="1">
      <alignment horizontal="center" vertical="center" wrapText="1"/>
    </xf>
    <xf numFmtId="0" fontId="17" fillId="7" borderId="4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 applyProtection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18" fillId="0" borderId="0" xfId="0" applyFont="1" applyFill="1" applyAlignment="1">
      <alignment horizontal="left" wrapText="1"/>
    </xf>
    <xf numFmtId="0" fontId="0" fillId="0" borderId="0" xfId="0" applyAlignment="1">
      <alignment wrapText="1"/>
    </xf>
    <xf numFmtId="0" fontId="26" fillId="0" borderId="6" xfId="0" applyFont="1" applyFill="1" applyBorder="1" applyAlignment="1" applyProtection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17" fillId="0" borderId="8" xfId="0" applyFont="1" applyFill="1" applyBorder="1" applyAlignment="1" applyProtection="1">
      <alignment horizontal="center" vertical="center" wrapText="1"/>
    </xf>
    <xf numFmtId="0" fontId="17" fillId="7" borderId="9" xfId="0" applyFont="1" applyFill="1" applyBorder="1" applyAlignment="1" applyProtection="1">
      <alignment horizontal="center" vertical="center" wrapText="1"/>
    </xf>
    <xf numFmtId="0" fontId="17" fillId="7" borderId="3" xfId="0" applyFont="1" applyFill="1" applyBorder="1" applyAlignment="1" applyProtection="1">
      <alignment horizontal="center" vertical="center" wrapText="1"/>
    </xf>
    <xf numFmtId="0" fontId="17" fillId="7" borderId="4" xfId="0" applyFont="1" applyFill="1" applyBorder="1" applyAlignment="1" applyProtection="1">
      <alignment horizontal="center" vertical="center" wrapText="1"/>
    </xf>
    <xf numFmtId="0" fontId="18" fillId="0" borderId="0" xfId="0" applyFont="1" applyFill="1" applyAlignment="1">
      <alignment horizontal="left"/>
    </xf>
    <xf numFmtId="0" fontId="23" fillId="0" borderId="0" xfId="0" applyFont="1" applyAlignment="1">
      <alignment horizontal="center" vertical="center" wrapText="1"/>
    </xf>
    <xf numFmtId="0" fontId="17" fillId="0" borderId="2" xfId="0" applyFont="1" applyFill="1" applyBorder="1" applyAlignment="1" applyProtection="1">
      <alignment horizontal="center" vertical="center" wrapText="1"/>
    </xf>
    <xf numFmtId="0" fontId="17" fillId="0" borderId="9" xfId="0" applyFont="1" applyFill="1" applyBorder="1" applyAlignment="1" applyProtection="1">
      <alignment horizontal="center" vertical="center" wrapText="1"/>
    </xf>
    <xf numFmtId="0" fontId="17" fillId="0" borderId="13" xfId="0" applyFont="1" applyFill="1" applyBorder="1" applyAlignment="1" applyProtection="1">
      <alignment horizontal="center" vertical="center" wrapText="1"/>
    </xf>
    <xf numFmtId="0" fontId="17" fillId="0" borderId="12" xfId="0" applyFont="1" applyFill="1" applyBorder="1" applyAlignment="1" applyProtection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E6E6E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84"/>
  <sheetViews>
    <sheetView tabSelected="1" zoomScale="71" zoomScaleNormal="71" zoomScaleSheetLayoutView="70" zoomScalePageLayoutView="75" workbookViewId="0">
      <pane xSplit="2" ySplit="12" topLeftCell="E40" activePane="bottomRight" state="frozen"/>
      <selection pane="topRight" activeCell="C1" sqref="C1"/>
      <selection pane="bottomLeft" activeCell="A13" sqref="A13"/>
      <selection pane="bottomRight" activeCell="B5" sqref="B5:M5"/>
    </sheetView>
  </sheetViews>
  <sheetFormatPr defaultRowHeight="12.75"/>
  <cols>
    <col min="1" max="1" width="9" style="24" customWidth="1"/>
    <col min="2" max="2" width="73.28515625" style="24" customWidth="1"/>
    <col min="3" max="3" width="16.42578125" style="24" customWidth="1"/>
    <col min="4" max="4" width="15.42578125" style="24" customWidth="1"/>
    <col min="5" max="5" width="13.28515625" style="29" customWidth="1"/>
    <col min="6" max="6" width="13" style="29" customWidth="1"/>
    <col min="7" max="7" width="15.140625" style="29" customWidth="1"/>
    <col min="8" max="8" width="14.7109375" style="26" customWidth="1"/>
    <col min="9" max="9" width="12.85546875" style="29" customWidth="1"/>
    <col min="10" max="10" width="13" style="26" customWidth="1"/>
    <col min="11" max="11" width="15" style="24" customWidth="1"/>
    <col min="12" max="12" width="14.85546875" style="26" customWidth="1"/>
    <col min="13" max="13" width="14.7109375" style="26" customWidth="1"/>
    <col min="14" max="14" width="13.42578125" style="26" customWidth="1"/>
    <col min="15" max="15" width="12.5703125" style="24" customWidth="1"/>
    <col min="16" max="16" width="11.140625" style="24" bestFit="1" customWidth="1"/>
    <col min="17" max="16384" width="9.140625" style="24"/>
  </cols>
  <sheetData>
    <row r="1" spans="1:15" ht="30.75">
      <c r="E1" s="24"/>
      <c r="F1" s="24"/>
      <c r="G1" s="25"/>
      <c r="I1" s="148" t="s">
        <v>142</v>
      </c>
      <c r="J1" s="148"/>
      <c r="K1" s="148"/>
      <c r="L1" s="148"/>
      <c r="M1" s="148"/>
      <c r="N1" s="148"/>
      <c r="O1" s="149"/>
    </row>
    <row r="2" spans="1:15" ht="40.5" customHeight="1">
      <c r="E2" s="24"/>
      <c r="F2" s="24"/>
      <c r="G2" s="25"/>
      <c r="I2" s="146" t="s">
        <v>141</v>
      </c>
      <c r="J2" s="146"/>
      <c r="K2" s="146"/>
      <c r="L2" s="146"/>
      <c r="M2" s="146"/>
      <c r="N2" s="146"/>
      <c r="O2" s="147"/>
    </row>
    <row r="3" spans="1:15" ht="27" customHeight="1">
      <c r="E3" s="24"/>
      <c r="F3" s="24"/>
      <c r="G3" s="25"/>
      <c r="H3" s="23"/>
      <c r="I3" s="4"/>
      <c r="J3" s="157" t="s">
        <v>140</v>
      </c>
      <c r="K3" s="157"/>
      <c r="L3" s="157"/>
      <c r="M3" s="157"/>
      <c r="N3" s="157"/>
    </row>
    <row r="4" spans="1:15" ht="29.25" customHeight="1">
      <c r="B4" s="158" t="s">
        <v>32</v>
      </c>
      <c r="C4" s="158"/>
      <c r="D4" s="158"/>
      <c r="E4" s="158"/>
      <c r="F4" s="158"/>
      <c r="G4" s="158"/>
      <c r="H4" s="158"/>
      <c r="I4" s="158"/>
      <c r="J4" s="158"/>
      <c r="K4" s="158"/>
      <c r="L4" s="158"/>
      <c r="M4" s="158"/>
    </row>
    <row r="5" spans="1:15" ht="31.5" customHeight="1">
      <c r="B5" s="158" t="s">
        <v>64</v>
      </c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</row>
    <row r="6" spans="1:15" ht="33" customHeight="1">
      <c r="B6" s="158" t="s">
        <v>130</v>
      </c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</row>
    <row r="7" spans="1:15" ht="19.5" thickBot="1">
      <c r="B7" s="3" t="s">
        <v>0</v>
      </c>
      <c r="C7" s="3"/>
      <c r="D7" s="25"/>
      <c r="E7" s="3"/>
      <c r="F7" s="3"/>
      <c r="G7" s="3"/>
      <c r="H7" s="22"/>
      <c r="I7" s="3"/>
      <c r="J7" s="22"/>
      <c r="M7" s="21" t="s">
        <v>42</v>
      </c>
    </row>
    <row r="8" spans="1:15" ht="19.5" customHeight="1" thickBot="1">
      <c r="A8" s="134" t="s">
        <v>79</v>
      </c>
      <c r="B8" s="150" t="s">
        <v>47</v>
      </c>
      <c r="C8" s="153" t="s">
        <v>80</v>
      </c>
      <c r="D8" s="154" t="s">
        <v>14</v>
      </c>
      <c r="E8" s="154"/>
      <c r="F8" s="154"/>
      <c r="G8" s="140" t="s">
        <v>81</v>
      </c>
      <c r="H8" s="159" t="s">
        <v>14</v>
      </c>
      <c r="I8" s="160"/>
      <c r="J8" s="161"/>
      <c r="K8" s="134" t="s">
        <v>82</v>
      </c>
      <c r="L8" s="134" t="s">
        <v>83</v>
      </c>
      <c r="M8" s="160" t="s">
        <v>14</v>
      </c>
      <c r="N8" s="160"/>
      <c r="O8" s="161"/>
    </row>
    <row r="9" spans="1:15" ht="12.75" customHeight="1">
      <c r="A9" s="135"/>
      <c r="B9" s="151"/>
      <c r="C9" s="144" t="s">
        <v>30</v>
      </c>
      <c r="D9" s="140" t="s">
        <v>22</v>
      </c>
      <c r="E9" s="137" t="s">
        <v>23</v>
      </c>
      <c r="F9" s="140" t="s">
        <v>41</v>
      </c>
      <c r="G9" s="138" t="s">
        <v>30</v>
      </c>
      <c r="H9" s="134" t="s">
        <v>22</v>
      </c>
      <c r="I9" s="143" t="s">
        <v>23</v>
      </c>
      <c r="J9" s="134" t="s">
        <v>41</v>
      </c>
      <c r="K9" s="135"/>
      <c r="L9" s="165" t="s">
        <v>1</v>
      </c>
      <c r="M9" s="143" t="s">
        <v>22</v>
      </c>
      <c r="N9" s="162" t="s">
        <v>23</v>
      </c>
      <c r="O9" s="134" t="s">
        <v>41</v>
      </c>
    </row>
    <row r="10" spans="1:15" ht="12.75" customHeight="1">
      <c r="A10" s="135"/>
      <c r="B10" s="151"/>
      <c r="C10" s="144"/>
      <c r="D10" s="141"/>
      <c r="E10" s="138"/>
      <c r="F10" s="155"/>
      <c r="G10" s="138"/>
      <c r="H10" s="165"/>
      <c r="I10" s="144"/>
      <c r="J10" s="135"/>
      <c r="K10" s="135"/>
      <c r="L10" s="165" t="s">
        <v>21</v>
      </c>
      <c r="M10" s="144"/>
      <c r="N10" s="163"/>
      <c r="O10" s="135"/>
    </row>
    <row r="11" spans="1:15" ht="25.5" customHeight="1">
      <c r="A11" s="135"/>
      <c r="B11" s="151"/>
      <c r="C11" s="144"/>
      <c r="D11" s="141"/>
      <c r="E11" s="138"/>
      <c r="F11" s="155"/>
      <c r="G11" s="138"/>
      <c r="H11" s="165"/>
      <c r="I11" s="144"/>
      <c r="J11" s="135"/>
      <c r="K11" s="135"/>
      <c r="L11" s="165"/>
      <c r="M11" s="144"/>
      <c r="N11" s="163"/>
      <c r="O11" s="135"/>
    </row>
    <row r="12" spans="1:15" ht="29.25" customHeight="1" thickBot="1">
      <c r="A12" s="136"/>
      <c r="B12" s="152"/>
      <c r="C12" s="145"/>
      <c r="D12" s="142"/>
      <c r="E12" s="139"/>
      <c r="F12" s="156"/>
      <c r="G12" s="139"/>
      <c r="H12" s="166"/>
      <c r="I12" s="145"/>
      <c r="J12" s="136"/>
      <c r="K12" s="136"/>
      <c r="L12" s="166"/>
      <c r="M12" s="145"/>
      <c r="N12" s="164"/>
      <c r="O12" s="136"/>
    </row>
    <row r="13" spans="1:15" ht="21" customHeight="1" thickBot="1">
      <c r="A13" s="5" t="s">
        <v>49</v>
      </c>
      <c r="B13" s="109" t="s">
        <v>26</v>
      </c>
      <c r="C13" s="16"/>
      <c r="D13" s="9"/>
      <c r="E13" s="8"/>
      <c r="F13" s="8"/>
      <c r="G13" s="36"/>
      <c r="H13" s="36"/>
      <c r="I13" s="36"/>
      <c r="J13" s="8"/>
      <c r="K13" s="8"/>
      <c r="L13" s="8"/>
      <c r="M13" s="8"/>
      <c r="N13" s="37"/>
      <c r="O13" s="8"/>
    </row>
    <row r="14" spans="1:15" ht="25.5" customHeight="1">
      <c r="A14" s="5"/>
      <c r="B14" s="110" t="s">
        <v>2</v>
      </c>
      <c r="C14" s="38"/>
      <c r="D14" s="39"/>
      <c r="E14" s="39"/>
      <c r="F14" s="39"/>
      <c r="G14" s="40"/>
      <c r="H14" s="39"/>
      <c r="I14" s="41"/>
      <c r="J14" s="39"/>
      <c r="K14" s="40"/>
      <c r="L14" s="42"/>
      <c r="M14" s="39"/>
      <c r="N14" s="39"/>
      <c r="O14" s="43"/>
    </row>
    <row r="15" spans="1:15" ht="25.5" customHeight="1">
      <c r="A15" s="5"/>
      <c r="B15" s="44" t="s">
        <v>50</v>
      </c>
      <c r="C15" s="45">
        <f>C18+C19+C20+C21+C22+C23+C24</f>
        <v>2795332</v>
      </c>
      <c r="D15" s="45">
        <f>+C15</f>
        <v>2795332</v>
      </c>
      <c r="E15" s="45">
        <f>+E18+E19+E20</f>
        <v>0</v>
      </c>
      <c r="F15" s="45">
        <f>+F18+F19+F20</f>
        <v>0</v>
      </c>
      <c r="G15" s="45">
        <f>G18+G19+G20+G21+G22+G23+G24</f>
        <v>2907456</v>
      </c>
      <c r="H15" s="45">
        <f>+G15</f>
        <v>2907456</v>
      </c>
      <c r="I15" s="45">
        <f>+I18+I19+I20</f>
        <v>0</v>
      </c>
      <c r="J15" s="45">
        <f>+J18+J19+J20</f>
        <v>0</v>
      </c>
      <c r="K15" s="45">
        <f>K18+K19+K20+K23+K24+K21+K22</f>
        <v>1316119.3</v>
      </c>
      <c r="L15" s="45">
        <f>L18+L19+L20+L23+L24+L21+L22</f>
        <v>1433295.5999999999</v>
      </c>
      <c r="M15" s="46">
        <f>+L15</f>
        <v>1433295.5999999999</v>
      </c>
      <c r="N15" s="46">
        <f>+N18+N19+N20</f>
        <v>0</v>
      </c>
      <c r="O15" s="46">
        <f>+O18+O19+O20</f>
        <v>0</v>
      </c>
    </row>
    <row r="16" spans="1:15" ht="21" customHeight="1">
      <c r="A16" s="5"/>
      <c r="B16" s="44" t="s">
        <v>138</v>
      </c>
      <c r="C16" s="45"/>
      <c r="D16" s="46"/>
      <c r="E16" s="46"/>
      <c r="F16" s="47"/>
      <c r="G16" s="45"/>
      <c r="H16" s="46"/>
      <c r="I16" s="46"/>
      <c r="J16" s="47"/>
      <c r="K16" s="46"/>
      <c r="L16" s="45"/>
      <c r="M16" s="46"/>
      <c r="N16" s="46"/>
      <c r="O16" s="46"/>
    </row>
    <row r="17" spans="1:15" ht="22.5" customHeight="1">
      <c r="A17" s="5"/>
      <c r="B17" s="13" t="s">
        <v>14</v>
      </c>
      <c r="C17" s="45"/>
      <c r="D17" s="46"/>
      <c r="E17" s="46"/>
      <c r="F17" s="47"/>
      <c r="G17" s="45"/>
      <c r="H17" s="46"/>
      <c r="I17" s="46"/>
      <c r="J17" s="47"/>
      <c r="K17" s="46"/>
      <c r="L17" s="45"/>
      <c r="M17" s="46"/>
      <c r="N17" s="46"/>
      <c r="O17" s="46"/>
    </row>
    <row r="18" spans="1:15" ht="21.75" customHeight="1">
      <c r="A18" s="5"/>
      <c r="B18" s="48" t="s">
        <v>51</v>
      </c>
      <c r="C18" s="49">
        <f>1659000</f>
        <v>1659000</v>
      </c>
      <c r="D18" s="50">
        <f t="shared" ref="D18:D31" si="0">+C18</f>
        <v>1659000</v>
      </c>
      <c r="E18" s="50">
        <v>0</v>
      </c>
      <c r="F18" s="51">
        <v>0</v>
      </c>
      <c r="G18" s="49">
        <f>1659000+39797.5+14400+9550</f>
        <v>1722747.5</v>
      </c>
      <c r="H18" s="50">
        <f t="shared" ref="H18:H31" si="1">+G18</f>
        <v>1722747.5</v>
      </c>
      <c r="I18" s="50">
        <v>0</v>
      </c>
      <c r="J18" s="51">
        <v>0</v>
      </c>
      <c r="K18" s="50">
        <v>798466</v>
      </c>
      <c r="L18" s="49">
        <v>883278.1</v>
      </c>
      <c r="M18" s="50">
        <f t="shared" ref="M18:M32" si="2">+L18</f>
        <v>883278.1</v>
      </c>
      <c r="N18" s="50">
        <v>0</v>
      </c>
      <c r="O18" s="50">
        <v>0</v>
      </c>
    </row>
    <row r="19" spans="1:15" ht="33.75" customHeight="1">
      <c r="A19" s="5"/>
      <c r="B19" s="48" t="s">
        <v>36</v>
      </c>
      <c r="C19" s="49">
        <f>900</f>
        <v>900</v>
      </c>
      <c r="D19" s="50">
        <f t="shared" si="0"/>
        <v>900</v>
      </c>
      <c r="E19" s="50">
        <v>0</v>
      </c>
      <c r="F19" s="51">
        <v>0</v>
      </c>
      <c r="G19" s="49">
        <f>900+3581</f>
        <v>4481</v>
      </c>
      <c r="H19" s="50">
        <f t="shared" si="1"/>
        <v>4481</v>
      </c>
      <c r="I19" s="50">
        <v>0</v>
      </c>
      <c r="J19" s="51">
        <v>0</v>
      </c>
      <c r="K19" s="50">
        <v>2960</v>
      </c>
      <c r="L19" s="49">
        <v>3801.1</v>
      </c>
      <c r="M19" s="50">
        <f t="shared" si="2"/>
        <v>3801.1</v>
      </c>
      <c r="N19" s="50">
        <v>0</v>
      </c>
      <c r="O19" s="50">
        <v>0</v>
      </c>
    </row>
    <row r="20" spans="1:15" ht="51.75" customHeight="1">
      <c r="A20" s="5"/>
      <c r="B20" s="48" t="s">
        <v>52</v>
      </c>
      <c r="C20" s="49">
        <v>18</v>
      </c>
      <c r="D20" s="50">
        <f t="shared" si="0"/>
        <v>18</v>
      </c>
      <c r="E20" s="50">
        <v>0</v>
      </c>
      <c r="F20" s="51">
        <v>0</v>
      </c>
      <c r="G20" s="49">
        <v>18</v>
      </c>
      <c r="H20" s="50">
        <f t="shared" si="1"/>
        <v>18</v>
      </c>
      <c r="I20" s="50">
        <v>0</v>
      </c>
      <c r="J20" s="51">
        <v>0</v>
      </c>
      <c r="K20" s="53">
        <v>6.7</v>
      </c>
      <c r="L20" s="49">
        <v>7.6</v>
      </c>
      <c r="M20" s="50">
        <f t="shared" si="2"/>
        <v>7.6</v>
      </c>
      <c r="N20" s="50">
        <v>0</v>
      </c>
      <c r="O20" s="50">
        <v>0</v>
      </c>
    </row>
    <row r="21" spans="1:15" ht="36.75" customHeight="1">
      <c r="A21" s="5"/>
      <c r="B21" s="48" t="s">
        <v>84</v>
      </c>
      <c r="C21" s="55">
        <v>0</v>
      </c>
      <c r="D21" s="50">
        <f t="shared" si="0"/>
        <v>0</v>
      </c>
      <c r="E21" s="50">
        <v>0</v>
      </c>
      <c r="F21" s="51">
        <v>0</v>
      </c>
      <c r="G21" s="55">
        <f>17000+3508.4</f>
        <v>20508.400000000001</v>
      </c>
      <c r="H21" s="50">
        <f t="shared" si="1"/>
        <v>20508.400000000001</v>
      </c>
      <c r="I21" s="50">
        <v>0</v>
      </c>
      <c r="J21" s="51">
        <v>0</v>
      </c>
      <c r="K21" s="53">
        <v>3000</v>
      </c>
      <c r="L21" s="49">
        <v>7484.7</v>
      </c>
      <c r="M21" s="50">
        <f t="shared" si="2"/>
        <v>7484.7</v>
      </c>
      <c r="N21" s="50">
        <v>0</v>
      </c>
      <c r="O21" s="50">
        <v>0</v>
      </c>
    </row>
    <row r="22" spans="1:15" ht="38.25" customHeight="1">
      <c r="A22" s="5"/>
      <c r="B22" s="48" t="s">
        <v>85</v>
      </c>
      <c r="C22" s="55">
        <v>0</v>
      </c>
      <c r="D22" s="50">
        <f t="shared" si="0"/>
        <v>0</v>
      </c>
      <c r="E22" s="50">
        <v>0</v>
      </c>
      <c r="F22" s="51">
        <v>0</v>
      </c>
      <c r="G22" s="55">
        <f>68000+8908.6+1970</f>
        <v>78878.600000000006</v>
      </c>
      <c r="H22" s="50">
        <f t="shared" si="1"/>
        <v>78878.600000000006</v>
      </c>
      <c r="I22" s="50">
        <v>0</v>
      </c>
      <c r="J22" s="51">
        <v>0</v>
      </c>
      <c r="K22" s="53">
        <v>19000</v>
      </c>
      <c r="L22" s="49">
        <v>28336.2</v>
      </c>
      <c r="M22" s="50">
        <f t="shared" si="2"/>
        <v>28336.2</v>
      </c>
      <c r="N22" s="50">
        <v>0</v>
      </c>
      <c r="O22" s="50">
        <v>0</v>
      </c>
    </row>
    <row r="23" spans="1:15" ht="33.75" customHeight="1">
      <c r="A23" s="5"/>
      <c r="B23" s="48" t="s">
        <v>53</v>
      </c>
      <c r="C23" s="49">
        <f>210000</f>
        <v>210000</v>
      </c>
      <c r="D23" s="50">
        <f t="shared" si="0"/>
        <v>210000</v>
      </c>
      <c r="E23" s="50">
        <v>0</v>
      </c>
      <c r="F23" s="51">
        <v>0</v>
      </c>
      <c r="G23" s="49">
        <f>210000-85000+4300</f>
        <v>129300</v>
      </c>
      <c r="H23" s="50">
        <f t="shared" si="1"/>
        <v>129300</v>
      </c>
      <c r="I23" s="50">
        <v>0</v>
      </c>
      <c r="J23" s="51">
        <v>0</v>
      </c>
      <c r="K23" s="50">
        <v>57000</v>
      </c>
      <c r="L23" s="49">
        <v>62373.9</v>
      </c>
      <c r="M23" s="50">
        <f t="shared" si="2"/>
        <v>62373.9</v>
      </c>
      <c r="N23" s="50">
        <v>0</v>
      </c>
      <c r="O23" s="50">
        <v>0</v>
      </c>
    </row>
    <row r="24" spans="1:15" ht="24.75" customHeight="1">
      <c r="A24" s="5"/>
      <c r="B24" s="56" t="s">
        <v>66</v>
      </c>
      <c r="C24" s="45">
        <f>+C25+C33</f>
        <v>925413.99999999988</v>
      </c>
      <c r="D24" s="46">
        <f t="shared" si="0"/>
        <v>925413.99999999988</v>
      </c>
      <c r="E24" s="46">
        <v>0</v>
      </c>
      <c r="F24" s="47">
        <v>0</v>
      </c>
      <c r="G24" s="45">
        <f>+G25+G33</f>
        <v>951522.49999999988</v>
      </c>
      <c r="H24" s="46">
        <f t="shared" si="1"/>
        <v>951522.49999999988</v>
      </c>
      <c r="I24" s="46">
        <v>0</v>
      </c>
      <c r="J24" s="47">
        <v>0</v>
      </c>
      <c r="K24" s="45">
        <f>+K25+K33</f>
        <v>435686.60000000003</v>
      </c>
      <c r="L24" s="45">
        <f>+L25+L33+L32</f>
        <v>448014</v>
      </c>
      <c r="M24" s="46">
        <f t="shared" si="2"/>
        <v>448014</v>
      </c>
      <c r="N24" s="46">
        <v>0</v>
      </c>
      <c r="O24" s="46">
        <v>0</v>
      </c>
    </row>
    <row r="25" spans="1:15" ht="18.75" customHeight="1">
      <c r="A25" s="5"/>
      <c r="B25" s="48" t="s">
        <v>67</v>
      </c>
      <c r="C25" s="45">
        <f>+C26+C27+C28+C29+C30+C31</f>
        <v>910601.89999999991</v>
      </c>
      <c r="D25" s="46">
        <f t="shared" si="0"/>
        <v>910601.89999999991</v>
      </c>
      <c r="E25" s="46">
        <v>0</v>
      </c>
      <c r="F25" s="47">
        <v>0</v>
      </c>
      <c r="G25" s="45">
        <f>+G26+G27+G28+G29+G30+G31</f>
        <v>910601.89999999991</v>
      </c>
      <c r="H25" s="46">
        <f t="shared" si="1"/>
        <v>910601.89999999991</v>
      </c>
      <c r="I25" s="46">
        <v>0</v>
      </c>
      <c r="J25" s="47">
        <v>0</v>
      </c>
      <c r="K25" s="45">
        <f>+K26+K27+K28+K29+K30+K31</f>
        <v>422091.9</v>
      </c>
      <c r="L25" s="45">
        <f>+L26+L27+L28+L29+L30+L31</f>
        <v>424611.9</v>
      </c>
      <c r="M25" s="46">
        <f t="shared" si="2"/>
        <v>424611.9</v>
      </c>
      <c r="N25" s="46">
        <v>0</v>
      </c>
      <c r="O25" s="46">
        <v>0</v>
      </c>
    </row>
    <row r="26" spans="1:15" ht="19.5" customHeight="1">
      <c r="A26" s="5"/>
      <c r="B26" s="57" t="s">
        <v>54</v>
      </c>
      <c r="C26" s="58">
        <v>197836.7</v>
      </c>
      <c r="D26" s="59">
        <f t="shared" si="0"/>
        <v>197836.7</v>
      </c>
      <c r="E26" s="59">
        <v>0</v>
      </c>
      <c r="F26" s="60">
        <v>0</v>
      </c>
      <c r="G26" s="58">
        <v>197836.7</v>
      </c>
      <c r="H26" s="59">
        <f t="shared" si="1"/>
        <v>197836.7</v>
      </c>
      <c r="I26" s="59">
        <v>0</v>
      </c>
      <c r="J26" s="60">
        <v>0</v>
      </c>
      <c r="K26" s="59">
        <v>92044.4</v>
      </c>
      <c r="L26" s="58">
        <v>91182.1</v>
      </c>
      <c r="M26" s="59">
        <f t="shared" si="2"/>
        <v>91182.1</v>
      </c>
      <c r="N26" s="59">
        <v>0</v>
      </c>
      <c r="O26" s="59">
        <v>0</v>
      </c>
    </row>
    <row r="27" spans="1:15" ht="23.25" customHeight="1">
      <c r="A27" s="5"/>
      <c r="B27" s="57" t="s">
        <v>55</v>
      </c>
      <c r="C27" s="58">
        <v>668058</v>
      </c>
      <c r="D27" s="59">
        <f t="shared" si="0"/>
        <v>668058</v>
      </c>
      <c r="E27" s="59">
        <v>0</v>
      </c>
      <c r="F27" s="60">
        <v>0</v>
      </c>
      <c r="G27" s="58">
        <v>668058</v>
      </c>
      <c r="H27" s="59">
        <f t="shared" si="1"/>
        <v>668058</v>
      </c>
      <c r="I27" s="59">
        <v>0</v>
      </c>
      <c r="J27" s="60">
        <v>0</v>
      </c>
      <c r="K27" s="59">
        <v>311893.5</v>
      </c>
      <c r="L27" s="58">
        <v>314607.5</v>
      </c>
      <c r="M27" s="59">
        <f t="shared" si="2"/>
        <v>314607.5</v>
      </c>
      <c r="N27" s="59">
        <v>0</v>
      </c>
      <c r="O27" s="59">
        <v>0</v>
      </c>
    </row>
    <row r="28" spans="1:15" ht="18" customHeight="1">
      <c r="A28" s="5"/>
      <c r="B28" s="57" t="s">
        <v>56</v>
      </c>
      <c r="C28" s="58">
        <v>11089.2</v>
      </c>
      <c r="D28" s="59">
        <f t="shared" si="0"/>
        <v>11089.2</v>
      </c>
      <c r="E28" s="59">
        <v>0</v>
      </c>
      <c r="F28" s="60">
        <v>0</v>
      </c>
      <c r="G28" s="58">
        <v>11089.2</v>
      </c>
      <c r="H28" s="59">
        <f t="shared" si="1"/>
        <v>11089.2</v>
      </c>
      <c r="I28" s="59">
        <v>0</v>
      </c>
      <c r="J28" s="60">
        <v>0</v>
      </c>
      <c r="K28" s="59">
        <v>4366</v>
      </c>
      <c r="L28" s="58">
        <v>4329</v>
      </c>
      <c r="M28" s="59">
        <f t="shared" si="2"/>
        <v>4329</v>
      </c>
      <c r="N28" s="59">
        <v>0</v>
      </c>
      <c r="O28" s="59">
        <v>0</v>
      </c>
    </row>
    <row r="29" spans="1:15" ht="18" customHeight="1">
      <c r="A29" s="5"/>
      <c r="B29" s="57" t="s">
        <v>57</v>
      </c>
      <c r="C29" s="58">
        <v>31478</v>
      </c>
      <c r="D29" s="59">
        <f t="shared" si="0"/>
        <v>31478</v>
      </c>
      <c r="E29" s="59">
        <v>0</v>
      </c>
      <c r="F29" s="60">
        <v>0</v>
      </c>
      <c r="G29" s="58">
        <v>31478</v>
      </c>
      <c r="H29" s="59">
        <f t="shared" si="1"/>
        <v>31478</v>
      </c>
      <c r="I29" s="59">
        <v>0</v>
      </c>
      <c r="J29" s="60">
        <v>0</v>
      </c>
      <c r="K29" s="59">
        <v>13477</v>
      </c>
      <c r="L29" s="58">
        <v>13886.4</v>
      </c>
      <c r="M29" s="59">
        <f t="shared" si="2"/>
        <v>13886.4</v>
      </c>
      <c r="N29" s="59">
        <v>0</v>
      </c>
      <c r="O29" s="59">
        <v>0</v>
      </c>
    </row>
    <row r="30" spans="1:15" ht="18" customHeight="1">
      <c r="A30" s="5"/>
      <c r="B30" s="57" t="s">
        <v>86</v>
      </c>
      <c r="C30" s="58">
        <v>1540</v>
      </c>
      <c r="D30" s="59">
        <f t="shared" si="0"/>
        <v>1540</v>
      </c>
      <c r="E30" s="59">
        <v>0</v>
      </c>
      <c r="F30" s="60">
        <v>0</v>
      </c>
      <c r="G30" s="58">
        <v>1540</v>
      </c>
      <c r="H30" s="59">
        <f t="shared" si="1"/>
        <v>1540</v>
      </c>
      <c r="I30" s="59">
        <v>0</v>
      </c>
      <c r="J30" s="60">
        <v>0</v>
      </c>
      <c r="K30" s="59">
        <v>25</v>
      </c>
      <c r="L30" s="58">
        <v>240.9</v>
      </c>
      <c r="M30" s="59">
        <f t="shared" si="2"/>
        <v>240.9</v>
      </c>
      <c r="N30" s="59">
        <v>0</v>
      </c>
      <c r="O30" s="59">
        <v>0</v>
      </c>
    </row>
    <row r="31" spans="1:15" ht="18" customHeight="1">
      <c r="A31" s="5"/>
      <c r="B31" s="57" t="s">
        <v>87</v>
      </c>
      <c r="C31" s="58">
        <v>600</v>
      </c>
      <c r="D31" s="59">
        <f t="shared" si="0"/>
        <v>600</v>
      </c>
      <c r="E31" s="59">
        <v>0</v>
      </c>
      <c r="F31" s="60">
        <v>0</v>
      </c>
      <c r="G31" s="58">
        <v>600</v>
      </c>
      <c r="H31" s="59">
        <f t="shared" si="1"/>
        <v>600</v>
      </c>
      <c r="I31" s="59">
        <v>0</v>
      </c>
      <c r="J31" s="60">
        <v>0</v>
      </c>
      <c r="K31" s="59">
        <v>286</v>
      </c>
      <c r="L31" s="58">
        <v>366</v>
      </c>
      <c r="M31" s="59">
        <f t="shared" si="2"/>
        <v>366</v>
      </c>
      <c r="N31" s="59">
        <v>0</v>
      </c>
      <c r="O31" s="59">
        <v>0</v>
      </c>
    </row>
    <row r="32" spans="1:15" ht="34.5" customHeight="1">
      <c r="A32" s="5"/>
      <c r="B32" s="48" t="s">
        <v>69</v>
      </c>
      <c r="C32" s="49">
        <v>0</v>
      </c>
      <c r="D32" s="50">
        <v>0</v>
      </c>
      <c r="E32" s="50">
        <v>0</v>
      </c>
      <c r="F32" s="51">
        <v>0</v>
      </c>
      <c r="G32" s="49">
        <v>0</v>
      </c>
      <c r="H32" s="50">
        <v>0</v>
      </c>
      <c r="I32" s="50">
        <v>0</v>
      </c>
      <c r="J32" s="51">
        <v>0</v>
      </c>
      <c r="K32" s="50">
        <v>0</v>
      </c>
      <c r="L32" s="49">
        <v>-62.7</v>
      </c>
      <c r="M32" s="50">
        <f t="shared" si="2"/>
        <v>-62.7</v>
      </c>
      <c r="N32" s="50">
        <v>0</v>
      </c>
      <c r="O32" s="50">
        <v>0</v>
      </c>
    </row>
    <row r="33" spans="1:15" ht="18.75" customHeight="1">
      <c r="A33" s="5"/>
      <c r="B33" s="48" t="s">
        <v>68</v>
      </c>
      <c r="C33" s="49">
        <f>14812.1</f>
        <v>14812.1</v>
      </c>
      <c r="D33" s="50">
        <f>+C33</f>
        <v>14812.1</v>
      </c>
      <c r="E33" s="50">
        <v>0</v>
      </c>
      <c r="F33" s="51">
        <v>0</v>
      </c>
      <c r="G33" s="49">
        <f>14812.1+18578.5+2500+5030</f>
        <v>40920.6</v>
      </c>
      <c r="H33" s="50">
        <f>+G33</f>
        <v>40920.6</v>
      </c>
      <c r="I33" s="50">
        <v>0</v>
      </c>
      <c r="J33" s="51">
        <v>0</v>
      </c>
      <c r="K33" s="50">
        <v>13594.7</v>
      </c>
      <c r="L33" s="49">
        <v>23464.799999999999</v>
      </c>
      <c r="M33" s="50">
        <f>+L33</f>
        <v>23464.799999999999</v>
      </c>
      <c r="N33" s="50">
        <v>0</v>
      </c>
      <c r="O33" s="50">
        <v>0</v>
      </c>
    </row>
    <row r="34" spans="1:15" ht="27.75" customHeight="1">
      <c r="A34" s="5"/>
      <c r="B34" s="44" t="s">
        <v>58</v>
      </c>
      <c r="C34" s="45">
        <f>+C37+C40+C42+C43+C39+C38+C41</f>
        <v>48612.1</v>
      </c>
      <c r="D34" s="45">
        <f>C34</f>
        <v>48612.1</v>
      </c>
      <c r="E34" s="46">
        <f>+E37+E40+E42+E43+E39</f>
        <v>0</v>
      </c>
      <c r="F34" s="47">
        <f>+F37+F40+F42+F43+F39</f>
        <v>0</v>
      </c>
      <c r="G34" s="45">
        <f>+G37+G40+G42+G43+G39+G38+G41</f>
        <v>57936.7</v>
      </c>
      <c r="H34" s="45">
        <f>G34</f>
        <v>57936.7</v>
      </c>
      <c r="I34" s="46">
        <f>+I37+I40+I42+I43+I39</f>
        <v>0</v>
      </c>
      <c r="J34" s="47">
        <f>+J37+J40+J42+J43+J39</f>
        <v>0</v>
      </c>
      <c r="K34" s="45">
        <f>+K37+K40+K41+K42+K43+K39+K38</f>
        <v>26980.1</v>
      </c>
      <c r="L34" s="45">
        <f>+L37+L40+L42+L43+L39+L38+L41</f>
        <v>38050.9</v>
      </c>
      <c r="M34" s="46">
        <f>L34</f>
        <v>38050.9</v>
      </c>
      <c r="N34" s="46">
        <f>+N37+N40+N42+N43+N39</f>
        <v>0</v>
      </c>
      <c r="O34" s="46">
        <f>+O37+O40+O42+O43++O39</f>
        <v>0</v>
      </c>
    </row>
    <row r="35" spans="1:15" ht="20.25" customHeight="1">
      <c r="A35" s="5"/>
      <c r="B35" s="44" t="s">
        <v>138</v>
      </c>
      <c r="C35" s="45"/>
      <c r="D35" s="46"/>
      <c r="E35" s="46"/>
      <c r="F35" s="47"/>
      <c r="G35" s="45"/>
      <c r="H35" s="46"/>
      <c r="I35" s="46"/>
      <c r="J35" s="47"/>
      <c r="K35" s="46"/>
      <c r="L35" s="45"/>
      <c r="M35" s="46"/>
      <c r="N35" s="46"/>
      <c r="O35" s="46"/>
    </row>
    <row r="36" spans="1:15" ht="19.5" customHeight="1">
      <c r="A36" s="5"/>
      <c r="B36" s="13" t="s">
        <v>14</v>
      </c>
      <c r="C36" s="45"/>
      <c r="D36" s="46"/>
      <c r="E36" s="46"/>
      <c r="F36" s="47"/>
      <c r="G36" s="45"/>
      <c r="H36" s="46"/>
      <c r="I36" s="46"/>
      <c r="J36" s="47"/>
      <c r="K36" s="46"/>
      <c r="L36" s="45"/>
      <c r="M36" s="46"/>
      <c r="N36" s="46"/>
      <c r="O36" s="46"/>
    </row>
    <row r="37" spans="1:15" ht="33" customHeight="1">
      <c r="A37" s="5"/>
      <c r="B37" s="48" t="s">
        <v>43</v>
      </c>
      <c r="C37" s="49">
        <f>107</f>
        <v>107</v>
      </c>
      <c r="D37" s="50">
        <f>+C37</f>
        <v>107</v>
      </c>
      <c r="E37" s="50">
        <v>0</v>
      </c>
      <c r="F37" s="51">
        <v>0</v>
      </c>
      <c r="G37" s="49">
        <f>107+414</f>
        <v>521</v>
      </c>
      <c r="H37" s="50">
        <f t="shared" ref="H37:H43" si="3">+G37</f>
        <v>521</v>
      </c>
      <c r="I37" s="50">
        <v>0</v>
      </c>
      <c r="J37" s="51">
        <v>0</v>
      </c>
      <c r="K37" s="50">
        <v>394</v>
      </c>
      <c r="L37" s="49">
        <v>431.2</v>
      </c>
      <c r="M37" s="50">
        <f t="shared" ref="M37:M42" si="4">+L37</f>
        <v>431.2</v>
      </c>
      <c r="N37" s="50">
        <v>0</v>
      </c>
      <c r="O37" s="50">
        <v>0</v>
      </c>
    </row>
    <row r="38" spans="1:15" ht="23.25" customHeight="1">
      <c r="A38" s="5"/>
      <c r="B38" s="48" t="s">
        <v>70</v>
      </c>
      <c r="C38" s="49">
        <f>10000</f>
        <v>10000</v>
      </c>
      <c r="D38" s="50">
        <f>+C38</f>
        <v>10000</v>
      </c>
      <c r="E38" s="50">
        <v>0</v>
      </c>
      <c r="F38" s="51">
        <v>0</v>
      </c>
      <c r="G38" s="49">
        <f>10000+3900+2530</f>
        <v>16430</v>
      </c>
      <c r="H38" s="50">
        <f t="shared" si="3"/>
        <v>16430</v>
      </c>
      <c r="I38" s="50">
        <v>0</v>
      </c>
      <c r="J38" s="51">
        <v>0</v>
      </c>
      <c r="K38" s="50">
        <v>7850</v>
      </c>
      <c r="L38" s="49">
        <v>14536.8</v>
      </c>
      <c r="M38" s="50">
        <f t="shared" si="4"/>
        <v>14536.8</v>
      </c>
      <c r="N38" s="50">
        <v>0</v>
      </c>
      <c r="O38" s="50">
        <v>0</v>
      </c>
    </row>
    <row r="39" spans="1:15" ht="25.5" customHeight="1" thickBot="1">
      <c r="A39" s="5"/>
      <c r="B39" s="111" t="s">
        <v>73</v>
      </c>
      <c r="C39" s="112">
        <f>15600</f>
        <v>15600</v>
      </c>
      <c r="D39" s="113">
        <f>+C39</f>
        <v>15600</v>
      </c>
      <c r="E39" s="113">
        <v>0</v>
      </c>
      <c r="F39" s="114">
        <v>0</v>
      </c>
      <c r="G39" s="112">
        <f>15600+1135+475</f>
        <v>17210</v>
      </c>
      <c r="H39" s="113">
        <f t="shared" si="3"/>
        <v>17210</v>
      </c>
      <c r="I39" s="113">
        <v>0</v>
      </c>
      <c r="J39" s="114">
        <v>0</v>
      </c>
      <c r="K39" s="113">
        <v>7904</v>
      </c>
      <c r="L39" s="112">
        <v>10162.299999999999</v>
      </c>
      <c r="M39" s="113">
        <f t="shared" si="4"/>
        <v>10162.299999999999</v>
      </c>
      <c r="N39" s="113">
        <v>0</v>
      </c>
      <c r="O39" s="113">
        <v>0</v>
      </c>
    </row>
    <row r="40" spans="1:15" ht="40.5" customHeight="1">
      <c r="A40" s="5"/>
      <c r="B40" s="115" t="s">
        <v>37</v>
      </c>
      <c r="C40" s="116">
        <v>20000</v>
      </c>
      <c r="D40" s="117">
        <f>+C40</f>
        <v>20000</v>
      </c>
      <c r="E40" s="117">
        <v>0</v>
      </c>
      <c r="F40" s="118">
        <v>0</v>
      </c>
      <c r="G40" s="116">
        <v>20000</v>
      </c>
      <c r="H40" s="117">
        <f t="shared" si="3"/>
        <v>20000</v>
      </c>
      <c r="I40" s="117">
        <v>0</v>
      </c>
      <c r="J40" s="118">
        <v>0</v>
      </c>
      <c r="K40" s="117">
        <v>9350</v>
      </c>
      <c r="L40" s="116">
        <v>10025.4</v>
      </c>
      <c r="M40" s="117">
        <f t="shared" si="4"/>
        <v>10025.4</v>
      </c>
      <c r="N40" s="117">
        <v>0</v>
      </c>
      <c r="O40" s="117">
        <v>0</v>
      </c>
    </row>
    <row r="41" spans="1:15" ht="20.25" customHeight="1">
      <c r="A41" s="5"/>
      <c r="B41" s="48" t="s">
        <v>71</v>
      </c>
      <c r="C41" s="49">
        <f>50</f>
        <v>50</v>
      </c>
      <c r="D41" s="50">
        <v>0</v>
      </c>
      <c r="E41" s="50">
        <v>0</v>
      </c>
      <c r="F41" s="51">
        <v>0</v>
      </c>
      <c r="G41" s="49">
        <f>50+45</f>
        <v>95</v>
      </c>
      <c r="H41" s="50">
        <f t="shared" si="3"/>
        <v>95</v>
      </c>
      <c r="I41" s="50">
        <v>0</v>
      </c>
      <c r="J41" s="51">
        <v>0</v>
      </c>
      <c r="K41" s="50">
        <v>67.5</v>
      </c>
      <c r="L41" s="49">
        <v>232.8</v>
      </c>
      <c r="M41" s="50">
        <f t="shared" si="4"/>
        <v>232.8</v>
      </c>
      <c r="N41" s="50">
        <v>0</v>
      </c>
      <c r="O41" s="50">
        <v>0</v>
      </c>
    </row>
    <row r="42" spans="1:15" ht="18.75" customHeight="1">
      <c r="A42" s="5"/>
      <c r="B42" s="48" t="s">
        <v>28</v>
      </c>
      <c r="C42" s="49">
        <f>1000</f>
        <v>1000</v>
      </c>
      <c r="D42" s="50">
        <f>+C42</f>
        <v>1000</v>
      </c>
      <c r="E42" s="50">
        <v>0</v>
      </c>
      <c r="F42" s="51">
        <v>0</v>
      </c>
      <c r="G42" s="49">
        <f>1000+176</f>
        <v>1176</v>
      </c>
      <c r="H42" s="50">
        <f t="shared" si="3"/>
        <v>1176</v>
      </c>
      <c r="I42" s="50">
        <v>0</v>
      </c>
      <c r="J42" s="51">
        <v>0</v>
      </c>
      <c r="K42" s="50">
        <v>465</v>
      </c>
      <c r="L42" s="49">
        <v>659.6</v>
      </c>
      <c r="M42" s="50">
        <f t="shared" si="4"/>
        <v>659.6</v>
      </c>
      <c r="N42" s="50">
        <v>0</v>
      </c>
      <c r="O42" s="50">
        <v>0</v>
      </c>
    </row>
    <row r="43" spans="1:15" ht="18" customHeight="1">
      <c r="A43" s="5"/>
      <c r="B43" s="48" t="s">
        <v>27</v>
      </c>
      <c r="C43" s="49">
        <f>1855.1</f>
        <v>1855.1</v>
      </c>
      <c r="D43" s="50">
        <f>+C43</f>
        <v>1855.1</v>
      </c>
      <c r="E43" s="50">
        <v>0</v>
      </c>
      <c r="F43" s="51">
        <v>0</v>
      </c>
      <c r="G43" s="49">
        <f>1855.1+112+37.6+500</f>
        <v>2504.6999999999998</v>
      </c>
      <c r="H43" s="50">
        <f t="shared" si="3"/>
        <v>2504.6999999999998</v>
      </c>
      <c r="I43" s="50">
        <v>0</v>
      </c>
      <c r="J43" s="51">
        <v>0</v>
      </c>
      <c r="K43" s="50">
        <v>949.6</v>
      </c>
      <c r="L43" s="49">
        <v>2002.8</v>
      </c>
      <c r="M43" s="50">
        <f>+L43</f>
        <v>2002.8</v>
      </c>
      <c r="N43" s="50">
        <v>0</v>
      </c>
      <c r="O43" s="50">
        <v>0</v>
      </c>
    </row>
    <row r="44" spans="1:15" ht="25.5" customHeight="1">
      <c r="A44" s="5"/>
      <c r="B44" s="44" t="s">
        <v>59</v>
      </c>
      <c r="C44" s="45">
        <f>+C47</f>
        <v>12</v>
      </c>
      <c r="D44" s="45">
        <f t="shared" ref="D44:F44" si="5">+D47</f>
        <v>12</v>
      </c>
      <c r="E44" s="45">
        <f t="shared" si="5"/>
        <v>0</v>
      </c>
      <c r="F44" s="45">
        <f t="shared" si="5"/>
        <v>0</v>
      </c>
      <c r="G44" s="45">
        <f>+G47</f>
        <v>89.5</v>
      </c>
      <c r="H44" s="45">
        <f t="shared" ref="H44:O44" si="6">+H47</f>
        <v>89.5</v>
      </c>
      <c r="I44" s="45">
        <f t="shared" si="6"/>
        <v>0</v>
      </c>
      <c r="J44" s="45">
        <f t="shared" si="6"/>
        <v>0</v>
      </c>
      <c r="K44" s="46">
        <f>K47</f>
        <v>12</v>
      </c>
      <c r="L44" s="45">
        <f>+L47</f>
        <v>100</v>
      </c>
      <c r="M44" s="46">
        <f>+M47</f>
        <v>100</v>
      </c>
      <c r="N44" s="46">
        <f t="shared" si="6"/>
        <v>0</v>
      </c>
      <c r="O44" s="46">
        <f t="shared" si="6"/>
        <v>0</v>
      </c>
    </row>
    <row r="45" spans="1:15" ht="14.25" customHeight="1">
      <c r="A45" s="5"/>
      <c r="B45" s="44" t="s">
        <v>138</v>
      </c>
      <c r="C45" s="45"/>
      <c r="D45" s="46"/>
      <c r="E45" s="46"/>
      <c r="F45" s="47"/>
      <c r="G45" s="45"/>
      <c r="H45" s="46"/>
      <c r="I45" s="46"/>
      <c r="J45" s="47"/>
      <c r="K45" s="46"/>
      <c r="L45" s="45"/>
      <c r="M45" s="46"/>
      <c r="N45" s="46"/>
      <c r="O45" s="46"/>
    </row>
    <row r="46" spans="1:15" ht="20.25" customHeight="1">
      <c r="A46" s="5"/>
      <c r="B46" s="13" t="s">
        <v>14</v>
      </c>
      <c r="C46" s="45"/>
      <c r="D46" s="46"/>
      <c r="E46" s="46"/>
      <c r="F46" s="47"/>
      <c r="G46" s="45"/>
      <c r="H46" s="46"/>
      <c r="I46" s="46"/>
      <c r="J46" s="47"/>
      <c r="K46" s="46"/>
      <c r="L46" s="45"/>
      <c r="M46" s="46"/>
      <c r="N46" s="46"/>
      <c r="O46" s="46"/>
    </row>
    <row r="47" spans="1:15" ht="66" customHeight="1" thickBot="1">
      <c r="A47" s="5"/>
      <c r="B47" s="48" t="s">
        <v>38</v>
      </c>
      <c r="C47" s="49">
        <f>12</f>
        <v>12</v>
      </c>
      <c r="D47" s="50">
        <f>+C47</f>
        <v>12</v>
      </c>
      <c r="E47" s="50">
        <v>0</v>
      </c>
      <c r="F47" s="51">
        <v>0</v>
      </c>
      <c r="G47" s="49">
        <f>12+65.3+12.2</f>
        <v>89.5</v>
      </c>
      <c r="H47" s="50">
        <f>+G47</f>
        <v>89.5</v>
      </c>
      <c r="I47" s="50">
        <v>0</v>
      </c>
      <c r="J47" s="51">
        <v>0</v>
      </c>
      <c r="K47" s="50">
        <v>12</v>
      </c>
      <c r="L47" s="49">
        <v>100</v>
      </c>
      <c r="M47" s="50">
        <f>+L47</f>
        <v>100</v>
      </c>
      <c r="N47" s="50">
        <v>0</v>
      </c>
      <c r="O47" s="50">
        <v>0</v>
      </c>
    </row>
    <row r="48" spans="1:15" ht="36.75" customHeight="1" thickBot="1">
      <c r="A48" s="5"/>
      <c r="B48" s="61" t="s">
        <v>131</v>
      </c>
      <c r="C48" s="62">
        <f>C15+C34+C44</f>
        <v>2843956.1</v>
      </c>
      <c r="D48" s="62">
        <f>D15+D34+D44</f>
        <v>2843956.1</v>
      </c>
      <c r="E48" s="63">
        <f>+E15+E34+E47</f>
        <v>0</v>
      </c>
      <c r="F48" s="63">
        <f>+F15+F34+F47</f>
        <v>0</v>
      </c>
      <c r="G48" s="62">
        <f>G15+G34+G44</f>
        <v>2965482.2</v>
      </c>
      <c r="H48" s="63">
        <f>+H15+H34+H47</f>
        <v>2965482.2</v>
      </c>
      <c r="I48" s="63">
        <f>+I15+I34+I47</f>
        <v>0</v>
      </c>
      <c r="J48" s="64">
        <f>+J15+J34+J47</f>
        <v>0</v>
      </c>
      <c r="K48" s="62">
        <f>K15+K34+K44</f>
        <v>1343111.4000000001</v>
      </c>
      <c r="L48" s="62">
        <f>+L15+L34+L44</f>
        <v>1471446.4999999998</v>
      </c>
      <c r="M48" s="63">
        <f>+M15+M34+M44</f>
        <v>1471446.4999999998</v>
      </c>
      <c r="N48" s="63">
        <f>+N15+N34+N47</f>
        <v>0</v>
      </c>
      <c r="O48" s="63">
        <f>+O15+O34+O47</f>
        <v>0</v>
      </c>
    </row>
    <row r="49" spans="1:15" ht="26.25" customHeight="1" thickBot="1">
      <c r="A49" s="5"/>
      <c r="B49" s="48" t="s">
        <v>60</v>
      </c>
      <c r="C49" s="55">
        <v>2428063.7999999998</v>
      </c>
      <c r="D49" s="50">
        <f>+C49</f>
        <v>2428063.7999999998</v>
      </c>
      <c r="E49" s="65">
        <v>0</v>
      </c>
      <c r="F49" s="65">
        <v>0</v>
      </c>
      <c r="G49" s="55">
        <v>2606815.2999999998</v>
      </c>
      <c r="H49" s="65">
        <f>+G49</f>
        <v>2606815.2999999998</v>
      </c>
      <c r="I49" s="65">
        <v>0</v>
      </c>
      <c r="J49" s="66">
        <v>0</v>
      </c>
      <c r="K49" s="65">
        <v>1727316.1</v>
      </c>
      <c r="L49" s="67">
        <v>1710701.1</v>
      </c>
      <c r="M49" s="65">
        <f>+L49</f>
        <v>1710701.1</v>
      </c>
      <c r="N49" s="65">
        <v>0</v>
      </c>
      <c r="O49" s="65">
        <v>0</v>
      </c>
    </row>
    <row r="50" spans="1:15" ht="24" customHeight="1" thickBot="1">
      <c r="A50" s="5"/>
      <c r="B50" s="61" t="s">
        <v>132</v>
      </c>
      <c r="C50" s="62">
        <f t="shared" ref="C50:O50" si="7">+C48+C49</f>
        <v>5272019.9000000004</v>
      </c>
      <c r="D50" s="63">
        <f>+D48+D49</f>
        <v>5272019.9000000004</v>
      </c>
      <c r="E50" s="63">
        <f t="shared" si="7"/>
        <v>0</v>
      </c>
      <c r="F50" s="63">
        <f t="shared" si="7"/>
        <v>0</v>
      </c>
      <c r="G50" s="62">
        <f>+G48+G49</f>
        <v>5572297.5</v>
      </c>
      <c r="H50" s="63">
        <f t="shared" si="7"/>
        <v>5572297.5</v>
      </c>
      <c r="I50" s="63">
        <f t="shared" si="7"/>
        <v>0</v>
      </c>
      <c r="J50" s="64">
        <f t="shared" si="7"/>
        <v>0</v>
      </c>
      <c r="K50" s="63">
        <f t="shared" si="7"/>
        <v>3070427.5</v>
      </c>
      <c r="L50" s="62">
        <f t="shared" si="7"/>
        <v>3182147.5999999996</v>
      </c>
      <c r="M50" s="63">
        <f t="shared" si="7"/>
        <v>3182147.5999999996</v>
      </c>
      <c r="N50" s="63">
        <f t="shared" si="7"/>
        <v>0</v>
      </c>
      <c r="O50" s="63">
        <f t="shared" si="7"/>
        <v>0</v>
      </c>
    </row>
    <row r="51" spans="1:15" ht="23.25" customHeight="1">
      <c r="A51" s="5"/>
      <c r="B51" s="68" t="s">
        <v>3</v>
      </c>
      <c r="C51" s="45"/>
      <c r="D51" s="46"/>
      <c r="E51" s="46"/>
      <c r="F51" s="46"/>
      <c r="G51" s="69"/>
      <c r="H51" s="70"/>
      <c r="I51" s="70"/>
      <c r="J51" s="71"/>
      <c r="K51" s="70"/>
      <c r="L51" s="69"/>
      <c r="M51" s="70"/>
      <c r="N51" s="70"/>
      <c r="O51" s="72"/>
    </row>
    <row r="52" spans="1:15" ht="36" customHeight="1">
      <c r="A52" s="5"/>
      <c r="B52" s="54" t="s">
        <v>74</v>
      </c>
      <c r="C52" s="49">
        <v>0</v>
      </c>
      <c r="D52" s="50">
        <v>0</v>
      </c>
      <c r="E52" s="50">
        <v>0</v>
      </c>
      <c r="F52" s="50">
        <v>0</v>
      </c>
      <c r="G52" s="49">
        <v>0</v>
      </c>
      <c r="H52" s="50">
        <v>0</v>
      </c>
      <c r="I52" s="50">
        <v>0</v>
      </c>
      <c r="J52" s="51">
        <v>0</v>
      </c>
      <c r="K52" s="50"/>
      <c r="L52" s="49">
        <v>-14.5</v>
      </c>
      <c r="M52" s="50">
        <v>0</v>
      </c>
      <c r="N52" s="50">
        <f>L52</f>
        <v>-14.5</v>
      </c>
      <c r="O52" s="50">
        <v>0</v>
      </c>
    </row>
    <row r="53" spans="1:15" ht="72" customHeight="1">
      <c r="A53" s="5"/>
      <c r="B53" s="48" t="s">
        <v>139</v>
      </c>
      <c r="C53" s="49">
        <v>0</v>
      </c>
      <c r="D53" s="50">
        <v>0</v>
      </c>
      <c r="E53" s="50">
        <v>0</v>
      </c>
      <c r="F53" s="50">
        <v>0</v>
      </c>
      <c r="G53" s="49">
        <v>0</v>
      </c>
      <c r="H53" s="50">
        <v>0</v>
      </c>
      <c r="I53" s="50">
        <v>0</v>
      </c>
      <c r="J53" s="51">
        <v>0</v>
      </c>
      <c r="K53" s="50"/>
      <c r="L53" s="49">
        <v>-1.2</v>
      </c>
      <c r="M53" s="50">
        <v>0</v>
      </c>
      <c r="N53" s="50">
        <f>L53</f>
        <v>-1.2</v>
      </c>
      <c r="O53" s="50">
        <v>0</v>
      </c>
    </row>
    <row r="54" spans="1:15" ht="28.5" customHeight="1">
      <c r="A54" s="5"/>
      <c r="B54" s="48" t="s">
        <v>65</v>
      </c>
      <c r="C54" s="49">
        <v>45200</v>
      </c>
      <c r="D54" s="50">
        <v>0</v>
      </c>
      <c r="E54" s="50">
        <f>+C54</f>
        <v>45200</v>
      </c>
      <c r="F54" s="50">
        <v>0</v>
      </c>
      <c r="G54" s="49">
        <f>45200+70</f>
        <v>45270</v>
      </c>
      <c r="H54" s="50">
        <v>0</v>
      </c>
      <c r="I54" s="50">
        <f>+G54</f>
        <v>45270</v>
      </c>
      <c r="J54" s="51">
        <v>0</v>
      </c>
      <c r="K54" s="73"/>
      <c r="L54" s="49">
        <v>25782.5</v>
      </c>
      <c r="M54" s="50">
        <v>0</v>
      </c>
      <c r="N54" s="50">
        <f>+L54</f>
        <v>25782.5</v>
      </c>
      <c r="O54" s="50">
        <v>0</v>
      </c>
    </row>
    <row r="55" spans="1:15" ht="48.75" customHeight="1">
      <c r="A55" s="5"/>
      <c r="B55" s="48" t="s">
        <v>72</v>
      </c>
      <c r="C55" s="49">
        <v>0</v>
      </c>
      <c r="D55" s="50">
        <v>0</v>
      </c>
      <c r="E55" s="50">
        <v>0</v>
      </c>
      <c r="F55" s="50">
        <v>0</v>
      </c>
      <c r="G55" s="49">
        <v>0</v>
      </c>
      <c r="H55" s="50">
        <v>0</v>
      </c>
      <c r="I55" s="50">
        <f t="shared" ref="I55" si="8">+G55</f>
        <v>0</v>
      </c>
      <c r="J55" s="51">
        <v>0</v>
      </c>
      <c r="K55" s="73"/>
      <c r="L55" s="49">
        <v>0.6</v>
      </c>
      <c r="M55" s="50">
        <v>0</v>
      </c>
      <c r="N55" s="50">
        <f t="shared" ref="N55" si="9">+L55</f>
        <v>0.6</v>
      </c>
      <c r="O55" s="50">
        <v>0</v>
      </c>
    </row>
    <row r="56" spans="1:15" ht="53.25" customHeight="1">
      <c r="A56" s="5"/>
      <c r="B56" s="48" t="s">
        <v>61</v>
      </c>
      <c r="C56" s="49">
        <v>100</v>
      </c>
      <c r="D56" s="50">
        <v>0</v>
      </c>
      <c r="E56" s="50">
        <f>+C56</f>
        <v>100</v>
      </c>
      <c r="F56" s="50">
        <v>0</v>
      </c>
      <c r="G56" s="49">
        <v>100</v>
      </c>
      <c r="H56" s="50">
        <v>0</v>
      </c>
      <c r="I56" s="50">
        <f>+G56</f>
        <v>100</v>
      </c>
      <c r="J56" s="51">
        <v>0</v>
      </c>
      <c r="K56" s="73"/>
      <c r="L56" s="49">
        <v>-36179.800000000003</v>
      </c>
      <c r="M56" s="50">
        <v>0</v>
      </c>
      <c r="N56" s="50">
        <f>+L56</f>
        <v>-36179.800000000003</v>
      </c>
      <c r="O56" s="50">
        <v>0</v>
      </c>
    </row>
    <row r="57" spans="1:15" ht="32.25" customHeight="1">
      <c r="A57" s="5"/>
      <c r="B57" s="52" t="s">
        <v>62</v>
      </c>
      <c r="C57" s="49">
        <v>112420.6</v>
      </c>
      <c r="D57" s="50">
        <v>0</v>
      </c>
      <c r="E57" s="50">
        <f>+C57</f>
        <v>112420.6</v>
      </c>
      <c r="F57" s="50">
        <v>0</v>
      </c>
      <c r="G57" s="49">
        <v>132060</v>
      </c>
      <c r="H57" s="53">
        <v>0</v>
      </c>
      <c r="I57" s="50">
        <f>+G57</f>
        <v>132060</v>
      </c>
      <c r="J57" s="51">
        <v>0</v>
      </c>
      <c r="K57" s="73"/>
      <c r="L57" s="49">
        <v>73988.7</v>
      </c>
      <c r="M57" s="50">
        <v>0</v>
      </c>
      <c r="N57" s="50">
        <f>+L57</f>
        <v>73988.7</v>
      </c>
      <c r="O57" s="50">
        <f>+M57</f>
        <v>0</v>
      </c>
    </row>
    <row r="58" spans="1:15" ht="49.5" customHeight="1">
      <c r="A58" s="5"/>
      <c r="B58" s="48" t="s">
        <v>63</v>
      </c>
      <c r="C58" s="49">
        <v>2240</v>
      </c>
      <c r="D58" s="50">
        <v>0</v>
      </c>
      <c r="E58" s="50">
        <f>+C58</f>
        <v>2240</v>
      </c>
      <c r="F58" s="50">
        <v>0</v>
      </c>
      <c r="G58" s="49">
        <f>2240+100</f>
        <v>2340</v>
      </c>
      <c r="H58" s="50">
        <v>0</v>
      </c>
      <c r="I58" s="50">
        <f>+G58</f>
        <v>2340</v>
      </c>
      <c r="J58" s="51">
        <v>0</v>
      </c>
      <c r="K58" s="73"/>
      <c r="L58" s="49">
        <v>2336.1</v>
      </c>
      <c r="M58" s="50">
        <v>0</v>
      </c>
      <c r="N58" s="50">
        <f>L58</f>
        <v>2336.1</v>
      </c>
      <c r="O58" s="50">
        <v>0</v>
      </c>
    </row>
    <row r="59" spans="1:15" ht="33.75" customHeight="1">
      <c r="A59" s="5"/>
      <c r="B59" s="74" t="s">
        <v>133</v>
      </c>
      <c r="C59" s="45">
        <f>C60+C61+C62</f>
        <v>13400</v>
      </c>
      <c r="D59" s="45">
        <f>+D60+D61</f>
        <v>0</v>
      </c>
      <c r="E59" s="45">
        <f>+E60+E61+E62</f>
        <v>13400</v>
      </c>
      <c r="F59" s="45">
        <f>+F60+F61++F62</f>
        <v>13400</v>
      </c>
      <c r="G59" s="45">
        <f>G60+G61+G62</f>
        <v>13400</v>
      </c>
      <c r="H59" s="45">
        <f>+H60+H61</f>
        <v>0</v>
      </c>
      <c r="I59" s="45">
        <f>+I60+I61+I62</f>
        <v>13400</v>
      </c>
      <c r="J59" s="45">
        <f>+J60+J61+J62</f>
        <v>13400</v>
      </c>
      <c r="K59" s="69"/>
      <c r="L59" s="45">
        <f>+L60+L61+L62</f>
        <v>1483.9</v>
      </c>
      <c r="M59" s="46">
        <f>+M60+M61</f>
        <v>0</v>
      </c>
      <c r="N59" s="46">
        <f>+N60+N61++N62</f>
        <v>1483.9</v>
      </c>
      <c r="O59" s="46">
        <f>+O60+O61+O62</f>
        <v>1483.9</v>
      </c>
    </row>
    <row r="60" spans="1:15" ht="40.5" customHeight="1">
      <c r="A60" s="5"/>
      <c r="B60" s="48" t="s">
        <v>39</v>
      </c>
      <c r="C60" s="49">
        <v>2000</v>
      </c>
      <c r="D60" s="50">
        <v>0</v>
      </c>
      <c r="E60" s="50">
        <f>+C60</f>
        <v>2000</v>
      </c>
      <c r="F60" s="50">
        <f>+C60</f>
        <v>2000</v>
      </c>
      <c r="G60" s="49">
        <v>2000</v>
      </c>
      <c r="H60" s="50">
        <v>0</v>
      </c>
      <c r="I60" s="50">
        <f>+G60</f>
        <v>2000</v>
      </c>
      <c r="J60" s="51">
        <f>+G60</f>
        <v>2000</v>
      </c>
      <c r="K60" s="73"/>
      <c r="L60" s="49">
        <v>665.3</v>
      </c>
      <c r="M60" s="50">
        <v>0</v>
      </c>
      <c r="N60" s="50">
        <f>L60</f>
        <v>665.3</v>
      </c>
      <c r="O60" s="50">
        <f>+L60</f>
        <v>665.3</v>
      </c>
    </row>
    <row r="61" spans="1:15" ht="24.75" customHeight="1">
      <c r="A61" s="5"/>
      <c r="B61" s="75" t="s">
        <v>44</v>
      </c>
      <c r="C61" s="49">
        <v>11000</v>
      </c>
      <c r="D61" s="50">
        <v>0</v>
      </c>
      <c r="E61" s="50">
        <f>+C61</f>
        <v>11000</v>
      </c>
      <c r="F61" s="50">
        <f>+C61</f>
        <v>11000</v>
      </c>
      <c r="G61" s="49">
        <v>11000</v>
      </c>
      <c r="H61" s="50">
        <v>0</v>
      </c>
      <c r="I61" s="50">
        <f>+G61</f>
        <v>11000</v>
      </c>
      <c r="J61" s="51">
        <f>+G61</f>
        <v>11000</v>
      </c>
      <c r="K61" s="73"/>
      <c r="L61" s="49">
        <v>112.4</v>
      </c>
      <c r="M61" s="50">
        <v>0</v>
      </c>
      <c r="N61" s="50">
        <f>L61</f>
        <v>112.4</v>
      </c>
      <c r="O61" s="50">
        <f>+L61</f>
        <v>112.4</v>
      </c>
    </row>
    <row r="62" spans="1:15" ht="37.5" customHeight="1">
      <c r="A62" s="5"/>
      <c r="B62" s="48" t="s">
        <v>45</v>
      </c>
      <c r="C62" s="49">
        <v>400</v>
      </c>
      <c r="D62" s="50">
        <v>0</v>
      </c>
      <c r="E62" s="50">
        <f>+C62</f>
        <v>400</v>
      </c>
      <c r="F62" s="50">
        <f>E62</f>
        <v>400</v>
      </c>
      <c r="G62" s="49">
        <v>400</v>
      </c>
      <c r="H62" s="50">
        <v>0</v>
      </c>
      <c r="I62" s="50">
        <f>G62</f>
        <v>400</v>
      </c>
      <c r="J62" s="51">
        <f>I62</f>
        <v>400</v>
      </c>
      <c r="K62" s="73"/>
      <c r="L62" s="49">
        <v>706.2</v>
      </c>
      <c r="M62" s="50">
        <v>0</v>
      </c>
      <c r="N62" s="50">
        <f>+L62</f>
        <v>706.2</v>
      </c>
      <c r="O62" s="50">
        <f>+L62</f>
        <v>706.2</v>
      </c>
    </row>
    <row r="63" spans="1:15" ht="28.5" customHeight="1" thickBot="1">
      <c r="A63" s="5"/>
      <c r="B63" s="119" t="s">
        <v>24</v>
      </c>
      <c r="C63" s="120">
        <v>11000</v>
      </c>
      <c r="D63" s="113">
        <v>0</v>
      </c>
      <c r="E63" s="113">
        <f>+C63</f>
        <v>11000</v>
      </c>
      <c r="F63" s="113">
        <f>E63</f>
        <v>11000</v>
      </c>
      <c r="G63" s="120">
        <v>16881</v>
      </c>
      <c r="H63" s="113">
        <v>0</v>
      </c>
      <c r="I63" s="113">
        <f>+G63</f>
        <v>16881</v>
      </c>
      <c r="J63" s="113">
        <f>I63</f>
        <v>16881</v>
      </c>
      <c r="K63" s="121"/>
      <c r="L63" s="112">
        <v>5881</v>
      </c>
      <c r="M63" s="113">
        <v>0</v>
      </c>
      <c r="N63" s="113">
        <f>+L63</f>
        <v>5881</v>
      </c>
      <c r="O63" s="113">
        <f>N63</f>
        <v>5881</v>
      </c>
    </row>
    <row r="64" spans="1:15" ht="27.75" customHeight="1" thickBot="1">
      <c r="A64" s="5"/>
      <c r="B64" s="77" t="s">
        <v>134</v>
      </c>
      <c r="C64" s="78">
        <f>+C54+C56+C57+C58+C59+C63</f>
        <v>184360.6</v>
      </c>
      <c r="D64" s="78">
        <f>+D54+D56+D57+D58+D59+D63</f>
        <v>0</v>
      </c>
      <c r="E64" s="78">
        <f>+E54+E56+E57+E58+E59+E63</f>
        <v>184360.6</v>
      </c>
      <c r="F64" s="78">
        <f>+F59</f>
        <v>13400</v>
      </c>
      <c r="G64" s="78">
        <f>+G54+G56+G57+G58+G59+G63</f>
        <v>210051</v>
      </c>
      <c r="H64" s="78">
        <f>+H54+H56+H57+H58+H59+H63</f>
        <v>0</v>
      </c>
      <c r="I64" s="78">
        <f>+I54+I56+I57+I58+I59+I63</f>
        <v>210051</v>
      </c>
      <c r="J64" s="78">
        <f>+J59+J63</f>
        <v>30281</v>
      </c>
      <c r="K64" s="79"/>
      <c r="L64" s="80">
        <f>+L54+L56+L57+L58+L59+L63+L55+L52+L53</f>
        <v>73277.3</v>
      </c>
      <c r="M64" s="78">
        <f>+M54+M56+M57+M58+M59+M63</f>
        <v>0</v>
      </c>
      <c r="N64" s="78">
        <f>+N54+N56+N57+N58+N59+N63+N55+N52+N53</f>
        <v>73277.3</v>
      </c>
      <c r="O64" s="78">
        <f>+O54+O56+O57+O58+O59+O63</f>
        <v>7364.9</v>
      </c>
    </row>
    <row r="65" spans="1:15" ht="19.5" customHeight="1" thickBot="1">
      <c r="A65" s="5"/>
      <c r="B65" s="68"/>
      <c r="C65" s="47"/>
      <c r="D65" s="46"/>
      <c r="E65" s="47"/>
      <c r="F65" s="46"/>
      <c r="G65" s="70"/>
      <c r="H65" s="70"/>
      <c r="I65" s="70"/>
      <c r="J65" s="71"/>
      <c r="K65" s="70"/>
      <c r="L65" s="69"/>
      <c r="M65" s="70"/>
      <c r="N65" s="70"/>
      <c r="O65" s="70"/>
    </row>
    <row r="66" spans="1:15" ht="27.75" customHeight="1" thickBot="1">
      <c r="A66" s="5"/>
      <c r="B66" s="81" t="s">
        <v>135</v>
      </c>
      <c r="C66" s="82">
        <f t="shared" ref="C66:O66" si="10">+C50+C64</f>
        <v>5456380.5</v>
      </c>
      <c r="D66" s="78">
        <f t="shared" si="10"/>
        <v>5272019.9000000004</v>
      </c>
      <c r="E66" s="82">
        <f t="shared" si="10"/>
        <v>184360.6</v>
      </c>
      <c r="F66" s="78">
        <f t="shared" si="10"/>
        <v>13400</v>
      </c>
      <c r="G66" s="78">
        <f t="shared" si="10"/>
        <v>5782348.5</v>
      </c>
      <c r="H66" s="78">
        <f t="shared" si="10"/>
        <v>5572297.5</v>
      </c>
      <c r="I66" s="78">
        <f t="shared" si="10"/>
        <v>210051</v>
      </c>
      <c r="J66" s="82">
        <f t="shared" si="10"/>
        <v>30281</v>
      </c>
      <c r="K66" s="78">
        <f t="shared" si="10"/>
        <v>3070427.5</v>
      </c>
      <c r="L66" s="80">
        <f t="shared" si="10"/>
        <v>3255424.8999999994</v>
      </c>
      <c r="M66" s="78">
        <f t="shared" si="10"/>
        <v>3182147.5999999996</v>
      </c>
      <c r="N66" s="78">
        <f t="shared" si="10"/>
        <v>73277.3</v>
      </c>
      <c r="O66" s="78">
        <f t="shared" si="10"/>
        <v>7364.9</v>
      </c>
    </row>
    <row r="67" spans="1:15" ht="24.75" customHeight="1">
      <c r="A67" s="5"/>
      <c r="B67" s="10" t="s">
        <v>88</v>
      </c>
      <c r="C67" s="8"/>
      <c r="D67" s="9"/>
      <c r="E67" s="8"/>
      <c r="F67" s="8"/>
      <c r="G67" s="36"/>
      <c r="H67" s="36"/>
      <c r="I67" s="36"/>
      <c r="J67" s="8"/>
      <c r="K67" s="8"/>
      <c r="L67" s="8"/>
      <c r="M67" s="8"/>
      <c r="N67" s="8"/>
      <c r="O67" s="8"/>
    </row>
    <row r="68" spans="1:15" ht="24.75" customHeight="1">
      <c r="A68" s="83" t="s">
        <v>89</v>
      </c>
      <c r="B68" s="44" t="s">
        <v>90</v>
      </c>
      <c r="C68" s="46">
        <f>D68+E68</f>
        <v>140407.79999999999</v>
      </c>
      <c r="D68" s="47">
        <v>119828</v>
      </c>
      <c r="E68" s="46">
        <v>20579.8</v>
      </c>
      <c r="F68" s="46">
        <v>20019.099999999999</v>
      </c>
      <c r="G68" s="84">
        <f>H68+I68</f>
        <v>150895.5</v>
      </c>
      <c r="H68" s="46">
        <v>125335.7</v>
      </c>
      <c r="I68" s="46">
        <v>25559.8</v>
      </c>
      <c r="J68" s="46">
        <v>24999.1</v>
      </c>
      <c r="K68" s="46">
        <v>60762.9</v>
      </c>
      <c r="L68" s="46">
        <f>SUM(M68+N68)</f>
        <v>60952.5</v>
      </c>
      <c r="M68" s="46">
        <v>60666.3</v>
      </c>
      <c r="N68" s="46">
        <v>286.2</v>
      </c>
      <c r="O68" s="46">
        <v>93.2</v>
      </c>
    </row>
    <row r="69" spans="1:15" ht="24.75" customHeight="1">
      <c r="A69" s="85">
        <v>1000</v>
      </c>
      <c r="B69" s="44" t="s">
        <v>12</v>
      </c>
      <c r="C69" s="46">
        <f>D69+E69</f>
        <v>1723414.9000000001</v>
      </c>
      <c r="D69" s="47">
        <v>1626106.8</v>
      </c>
      <c r="E69" s="46">
        <v>97308.1</v>
      </c>
      <c r="F69" s="46">
        <v>23361.1</v>
      </c>
      <c r="G69" s="84">
        <f>H69+I69</f>
        <v>1762140.4000000001</v>
      </c>
      <c r="H69" s="46">
        <v>1635954.3</v>
      </c>
      <c r="I69" s="46">
        <v>126186.1</v>
      </c>
      <c r="J69" s="46">
        <v>41779</v>
      </c>
      <c r="K69" s="46">
        <v>906027.6</v>
      </c>
      <c r="L69" s="46">
        <f>SUM(M69+N69)</f>
        <v>882628.3</v>
      </c>
      <c r="M69" s="46">
        <v>831521.8</v>
      </c>
      <c r="N69" s="46">
        <v>51106.5</v>
      </c>
      <c r="O69" s="46">
        <v>7510.5</v>
      </c>
    </row>
    <row r="70" spans="1:15" ht="24.75" customHeight="1">
      <c r="A70" s="85">
        <v>2000</v>
      </c>
      <c r="B70" s="44" t="s">
        <v>31</v>
      </c>
      <c r="C70" s="46">
        <f>D70+E70</f>
        <v>767403.9</v>
      </c>
      <c r="D70" s="47">
        <v>708043.4</v>
      </c>
      <c r="E70" s="46">
        <v>59360.5</v>
      </c>
      <c r="F70" s="46">
        <v>32156.6</v>
      </c>
      <c r="G70" s="84">
        <f>H70+I70</f>
        <v>848678.20000000007</v>
      </c>
      <c r="H70" s="46">
        <v>737714.4</v>
      </c>
      <c r="I70" s="46">
        <v>110963.8</v>
      </c>
      <c r="J70" s="46">
        <v>75667.399999999994</v>
      </c>
      <c r="K70" s="46">
        <v>424408</v>
      </c>
      <c r="L70" s="46">
        <f>SUM(M70+N70)</f>
        <v>427071.89999999997</v>
      </c>
      <c r="M70" s="46">
        <v>388777.3</v>
      </c>
      <c r="N70" s="46">
        <v>38294.6</v>
      </c>
      <c r="O70" s="46">
        <v>19741.7</v>
      </c>
    </row>
    <row r="71" spans="1:15" ht="27.75" customHeight="1">
      <c r="A71" s="85">
        <v>3000</v>
      </c>
      <c r="B71" s="44" t="s">
        <v>13</v>
      </c>
      <c r="C71" s="46">
        <f>D71+E71</f>
        <v>763574.2</v>
      </c>
      <c r="D71" s="47">
        <f>D73+D74+D75+D76+D80+D85+D86+D87+D88+D89+D90+D91</f>
        <v>760179.19999999995</v>
      </c>
      <c r="E71" s="46">
        <f t="shared" ref="E71:F71" si="11">E73+E74+E75+E76+E80+E85+E86+E87+E88+E89+E90+E91</f>
        <v>3395</v>
      </c>
      <c r="F71" s="46">
        <f t="shared" si="11"/>
        <v>1839.8</v>
      </c>
      <c r="G71" s="84">
        <f>H71+I71</f>
        <v>926890.39999999979</v>
      </c>
      <c r="H71" s="46">
        <f>H73+H74+H75+H76+H80+H85+H86+H87+H88+H89+H90+H91</f>
        <v>923419.89999999979</v>
      </c>
      <c r="I71" s="46">
        <f t="shared" ref="I71:K71" si="12">I73+I74+I75+I76+I80+I85+I86+I87+I88+I89+I90+I91</f>
        <v>3470.5</v>
      </c>
      <c r="J71" s="46">
        <f t="shared" si="12"/>
        <v>1839.8</v>
      </c>
      <c r="K71" s="46">
        <f t="shared" si="12"/>
        <v>876243.4</v>
      </c>
      <c r="L71" s="46">
        <f>SUM(M71+N71)</f>
        <v>875298.4</v>
      </c>
      <c r="M71" s="46">
        <f>M73+M74+M75+M76+M80+M85+M86+M87+M88+M89+M90+M91</f>
        <v>874282.3</v>
      </c>
      <c r="N71" s="46">
        <f t="shared" ref="N71:O71" si="13">N73+N74+N75+N76+N80+N85+N86+N87+N88+N89+N90+N91</f>
        <v>1016.1</v>
      </c>
      <c r="O71" s="46">
        <f t="shared" si="13"/>
        <v>276.20000000000005</v>
      </c>
    </row>
    <row r="72" spans="1:15" ht="23.25" customHeight="1">
      <c r="A72" s="86"/>
      <c r="B72" s="87" t="s">
        <v>14</v>
      </c>
      <c r="C72" s="50"/>
      <c r="D72" s="51"/>
      <c r="E72" s="50"/>
      <c r="F72" s="50"/>
      <c r="G72" s="53"/>
      <c r="H72" s="50"/>
      <c r="I72" s="50"/>
      <c r="J72" s="50"/>
      <c r="K72" s="50"/>
      <c r="L72" s="50"/>
      <c r="M72" s="50"/>
      <c r="N72" s="50"/>
      <c r="O72" s="50"/>
    </row>
    <row r="73" spans="1:15" ht="51" customHeight="1">
      <c r="A73" s="86">
        <v>3010</v>
      </c>
      <c r="B73" s="76" t="s">
        <v>91</v>
      </c>
      <c r="C73" s="50">
        <f>D73+E73</f>
        <v>602468.69999999995</v>
      </c>
      <c r="D73" s="51">
        <f>63790+5640+4900+5490+522648.7</f>
        <v>602468.69999999995</v>
      </c>
      <c r="E73" s="50">
        <v>0</v>
      </c>
      <c r="F73" s="50">
        <v>0</v>
      </c>
      <c r="G73" s="53">
        <f>H73+I73</f>
        <v>761830.7</v>
      </c>
      <c r="H73" s="50">
        <v>761830.7</v>
      </c>
      <c r="I73" s="50">
        <v>0</v>
      </c>
      <c r="J73" s="50">
        <v>0</v>
      </c>
      <c r="K73" s="50">
        <v>761830.7</v>
      </c>
      <c r="L73" s="50">
        <f>SUM(M73:N73)</f>
        <v>761830.7</v>
      </c>
      <c r="M73" s="50">
        <v>761830.7</v>
      </c>
      <c r="N73" s="50">
        <v>0</v>
      </c>
      <c r="O73" s="50">
        <v>0</v>
      </c>
    </row>
    <row r="74" spans="1:15" ht="38.25" customHeight="1" thickBot="1">
      <c r="A74" s="86">
        <v>3020</v>
      </c>
      <c r="B74" s="88" t="s">
        <v>92</v>
      </c>
      <c r="C74" s="89">
        <f>D74+E74</f>
        <v>2089</v>
      </c>
      <c r="D74" s="90">
        <f>238.2+2+16.1+83.2+1749.5</f>
        <v>2089</v>
      </c>
      <c r="E74" s="89">
        <v>0</v>
      </c>
      <c r="F74" s="89">
        <v>0</v>
      </c>
      <c r="G74" s="91">
        <f>H74+I74</f>
        <v>2089</v>
      </c>
      <c r="H74" s="89">
        <f>238.2+2+16.1+83.2+1749.5</f>
        <v>2089</v>
      </c>
      <c r="I74" s="89">
        <v>0</v>
      </c>
      <c r="J74" s="89">
        <v>0</v>
      </c>
      <c r="K74" s="89">
        <v>1157.9000000000001</v>
      </c>
      <c r="L74" s="89">
        <f>SUM(M74:N74)</f>
        <v>1157.9000000000001</v>
      </c>
      <c r="M74" s="89">
        <v>1157.9000000000001</v>
      </c>
      <c r="N74" s="89">
        <v>0</v>
      </c>
      <c r="O74" s="89">
        <v>0</v>
      </c>
    </row>
    <row r="75" spans="1:15" ht="133.5" customHeight="1">
      <c r="A75" s="86">
        <v>3030</v>
      </c>
      <c r="B75" s="76" t="s">
        <v>93</v>
      </c>
      <c r="C75" s="50">
        <f>D75+E75</f>
        <v>789.40000000000009</v>
      </c>
      <c r="D75" s="51">
        <f>35.7+753.7</f>
        <v>789.40000000000009</v>
      </c>
      <c r="E75" s="50">
        <v>0</v>
      </c>
      <c r="F75" s="50">
        <v>0</v>
      </c>
      <c r="G75" s="53">
        <f>H75+I75</f>
        <v>1502.2</v>
      </c>
      <c r="H75" s="50">
        <f>212.8+35.7+500+753.7</f>
        <v>1502.2</v>
      </c>
      <c r="I75" s="50">
        <v>0</v>
      </c>
      <c r="J75" s="50">
        <v>0</v>
      </c>
      <c r="K75" s="50">
        <v>1213.3</v>
      </c>
      <c r="L75" s="50">
        <f>SUM(M75:N75)</f>
        <v>1213.3</v>
      </c>
      <c r="M75" s="50">
        <v>1213.3</v>
      </c>
      <c r="N75" s="50">
        <v>0</v>
      </c>
      <c r="O75" s="50">
        <v>0</v>
      </c>
    </row>
    <row r="76" spans="1:15" ht="28.5" customHeight="1">
      <c r="A76" s="86">
        <v>3110</v>
      </c>
      <c r="B76" s="92" t="s">
        <v>94</v>
      </c>
      <c r="C76" s="50">
        <f t="shared" ref="C76:C94" si="14">D76+E76</f>
        <v>12944.999999999998</v>
      </c>
      <c r="D76" s="50">
        <f>SUM(D78:D79)</f>
        <v>11510.199999999999</v>
      </c>
      <c r="E76" s="50">
        <f t="shared" ref="E76:F76" si="15">SUM(E78:E79)</f>
        <v>1434.8</v>
      </c>
      <c r="F76" s="50">
        <f t="shared" si="15"/>
        <v>1434.8</v>
      </c>
      <c r="G76" s="53">
        <f t="shared" ref="G76:G94" si="16">H76+I76</f>
        <v>13017.099999999999</v>
      </c>
      <c r="H76" s="50">
        <f>SUM(H78:H79)</f>
        <v>11510.199999999999</v>
      </c>
      <c r="I76" s="50">
        <f t="shared" ref="I76:K76" si="17">SUM(I78:I79)</f>
        <v>1506.9</v>
      </c>
      <c r="J76" s="50">
        <f t="shared" si="17"/>
        <v>1434.8</v>
      </c>
      <c r="K76" s="50">
        <f t="shared" si="17"/>
        <v>5204.6000000000004</v>
      </c>
      <c r="L76" s="50">
        <f t="shared" ref="L76:L92" si="18">SUM(M76+N76)</f>
        <v>4993.8999999999996</v>
      </c>
      <c r="M76" s="50">
        <f>SUM(M78:M79)</f>
        <v>4668.7</v>
      </c>
      <c r="N76" s="50">
        <f t="shared" ref="N76:O76" si="19">SUM(N78:N79)</f>
        <v>325.2</v>
      </c>
      <c r="O76" s="50">
        <f t="shared" si="19"/>
        <v>256.10000000000002</v>
      </c>
    </row>
    <row r="77" spans="1:15" ht="18.75" customHeight="1">
      <c r="A77" s="86"/>
      <c r="B77" s="93" t="s">
        <v>14</v>
      </c>
      <c r="C77" s="50"/>
      <c r="D77" s="51"/>
      <c r="E77" s="50"/>
      <c r="F77" s="50"/>
      <c r="G77" s="53"/>
      <c r="H77" s="50"/>
      <c r="I77" s="50"/>
      <c r="J77" s="50"/>
      <c r="K77" s="50"/>
      <c r="L77" s="50"/>
      <c r="M77" s="50"/>
      <c r="N77" s="50"/>
      <c r="O77" s="50"/>
    </row>
    <row r="78" spans="1:15" ht="35.25" customHeight="1">
      <c r="A78" s="94">
        <v>3111</v>
      </c>
      <c r="B78" s="93" t="s">
        <v>95</v>
      </c>
      <c r="C78" s="59">
        <f t="shared" ref="C78:C79" si="20">D78+E78</f>
        <v>12656.199999999999</v>
      </c>
      <c r="D78" s="60">
        <v>11221.4</v>
      </c>
      <c r="E78" s="59">
        <v>1434.8</v>
      </c>
      <c r="F78" s="59">
        <v>1434.8</v>
      </c>
      <c r="G78" s="95">
        <f t="shared" ref="G78:G79" si="21">H78+I78</f>
        <v>12728.3</v>
      </c>
      <c r="H78" s="59">
        <v>11221.4</v>
      </c>
      <c r="I78" s="59">
        <v>1506.9</v>
      </c>
      <c r="J78" s="59">
        <v>1434.8</v>
      </c>
      <c r="K78" s="59">
        <v>5132.1000000000004</v>
      </c>
      <c r="L78" s="59">
        <f t="shared" ref="L78" si="22">SUM(M78:N78)</f>
        <v>4921.3999999999996</v>
      </c>
      <c r="M78" s="59">
        <v>4596.2</v>
      </c>
      <c r="N78" s="59">
        <v>325.2</v>
      </c>
      <c r="O78" s="59">
        <v>256.10000000000002</v>
      </c>
    </row>
    <row r="79" spans="1:15" ht="25.5" customHeight="1">
      <c r="A79" s="94">
        <v>3112</v>
      </c>
      <c r="B79" s="96" t="s">
        <v>96</v>
      </c>
      <c r="C79" s="59">
        <f t="shared" si="20"/>
        <v>288.8</v>
      </c>
      <c r="D79" s="60">
        <v>288.8</v>
      </c>
      <c r="E79" s="59">
        <v>0</v>
      </c>
      <c r="F79" s="59">
        <v>0</v>
      </c>
      <c r="G79" s="95">
        <f t="shared" si="21"/>
        <v>288.8</v>
      </c>
      <c r="H79" s="59">
        <v>288.8</v>
      </c>
      <c r="I79" s="59">
        <v>0</v>
      </c>
      <c r="J79" s="59">
        <v>0</v>
      </c>
      <c r="K79" s="59">
        <v>72.5</v>
      </c>
      <c r="L79" s="59">
        <f t="shared" ref="L79" si="23">SUM(M79+N79)</f>
        <v>72.5</v>
      </c>
      <c r="M79" s="59">
        <v>72.5</v>
      </c>
      <c r="N79" s="59">
        <v>0</v>
      </c>
      <c r="O79" s="59">
        <v>0</v>
      </c>
    </row>
    <row r="80" spans="1:15" ht="23.25" customHeight="1">
      <c r="A80" s="86">
        <v>3130</v>
      </c>
      <c r="B80" s="97" t="s">
        <v>97</v>
      </c>
      <c r="C80" s="50">
        <f t="shared" si="14"/>
        <v>6643.7</v>
      </c>
      <c r="D80" s="51">
        <f>SUM(D82:D84)</f>
        <v>6643.7</v>
      </c>
      <c r="E80" s="50">
        <f>SUM(E82:E84)</f>
        <v>0</v>
      </c>
      <c r="F80" s="50">
        <f>SUM(F82:F84)</f>
        <v>0</v>
      </c>
      <c r="G80" s="53">
        <f t="shared" si="16"/>
        <v>6643.7</v>
      </c>
      <c r="H80" s="50">
        <f>SUM(H82:H84)</f>
        <v>6643.7</v>
      </c>
      <c r="I80" s="50">
        <f t="shared" ref="I80:K80" si="24">SUM(I82:I84)</f>
        <v>0</v>
      </c>
      <c r="J80" s="50">
        <f t="shared" si="24"/>
        <v>0</v>
      </c>
      <c r="K80" s="50">
        <f t="shared" si="24"/>
        <v>3209.6</v>
      </c>
      <c r="L80" s="50">
        <f t="shared" si="18"/>
        <v>2678.1</v>
      </c>
      <c r="M80" s="50">
        <f>SUM(M82:M84)</f>
        <v>2678.1</v>
      </c>
      <c r="N80" s="50">
        <f t="shared" ref="N80:O80" si="25">SUM(N82:N84)</f>
        <v>0</v>
      </c>
      <c r="O80" s="50">
        <f t="shared" si="25"/>
        <v>0</v>
      </c>
    </row>
    <row r="81" spans="1:15" ht="21.75" customHeight="1">
      <c r="A81" s="86"/>
      <c r="B81" s="93" t="s">
        <v>14</v>
      </c>
      <c r="C81" s="50"/>
      <c r="D81" s="51"/>
      <c r="E81" s="50"/>
      <c r="F81" s="50"/>
      <c r="G81" s="53"/>
      <c r="H81" s="50"/>
      <c r="I81" s="50"/>
      <c r="J81" s="50"/>
      <c r="K81" s="50"/>
      <c r="L81" s="50"/>
      <c r="M81" s="50"/>
      <c r="N81" s="50"/>
      <c r="O81" s="50"/>
    </row>
    <row r="82" spans="1:15" ht="27" customHeight="1">
      <c r="A82" s="94">
        <v>3131</v>
      </c>
      <c r="B82" s="93" t="s">
        <v>98</v>
      </c>
      <c r="C82" s="59">
        <f t="shared" ref="C82:C84" si="26">D82+E82</f>
        <v>6520.2</v>
      </c>
      <c r="D82" s="60">
        <v>6520.2</v>
      </c>
      <c r="E82" s="59">
        <v>0</v>
      </c>
      <c r="F82" s="59">
        <v>0</v>
      </c>
      <c r="G82" s="95">
        <f t="shared" ref="G82:G84" si="27">H82+I82</f>
        <v>6520.2</v>
      </c>
      <c r="H82" s="59">
        <v>6520.2</v>
      </c>
      <c r="I82" s="59">
        <v>0</v>
      </c>
      <c r="J82" s="59">
        <v>0</v>
      </c>
      <c r="K82" s="59">
        <v>3137.1</v>
      </c>
      <c r="L82" s="59">
        <f t="shared" ref="L82:L83" si="28">SUM(M82:N82)</f>
        <v>2605.6</v>
      </c>
      <c r="M82" s="59">
        <v>2605.6</v>
      </c>
      <c r="N82" s="59">
        <v>0</v>
      </c>
      <c r="O82" s="59">
        <v>0</v>
      </c>
    </row>
    <row r="83" spans="1:15" ht="36.75" customHeight="1">
      <c r="A83" s="94">
        <v>3133</v>
      </c>
      <c r="B83" s="93" t="s">
        <v>99</v>
      </c>
      <c r="C83" s="59">
        <f t="shared" si="26"/>
        <v>20</v>
      </c>
      <c r="D83" s="60">
        <v>20</v>
      </c>
      <c r="E83" s="59">
        <v>0</v>
      </c>
      <c r="F83" s="59">
        <v>0</v>
      </c>
      <c r="G83" s="95">
        <f t="shared" si="27"/>
        <v>20</v>
      </c>
      <c r="H83" s="59">
        <v>20</v>
      </c>
      <c r="I83" s="59">
        <v>0</v>
      </c>
      <c r="J83" s="59">
        <v>0</v>
      </c>
      <c r="K83" s="59">
        <v>18</v>
      </c>
      <c r="L83" s="59">
        <f t="shared" si="28"/>
        <v>18</v>
      </c>
      <c r="M83" s="59">
        <v>18</v>
      </c>
      <c r="N83" s="59">
        <v>0</v>
      </c>
      <c r="O83" s="59">
        <v>0</v>
      </c>
    </row>
    <row r="84" spans="1:15" ht="31.5" customHeight="1">
      <c r="A84" s="94">
        <v>3134</v>
      </c>
      <c r="B84" s="96" t="s">
        <v>100</v>
      </c>
      <c r="C84" s="59">
        <f t="shared" si="26"/>
        <v>103.5</v>
      </c>
      <c r="D84" s="60">
        <v>103.5</v>
      </c>
      <c r="E84" s="59">
        <v>0</v>
      </c>
      <c r="F84" s="59">
        <v>0</v>
      </c>
      <c r="G84" s="95">
        <f t="shared" si="27"/>
        <v>103.5</v>
      </c>
      <c r="H84" s="59">
        <v>103.5</v>
      </c>
      <c r="I84" s="59">
        <v>0</v>
      </c>
      <c r="J84" s="59">
        <v>0</v>
      </c>
      <c r="K84" s="59">
        <v>54.5</v>
      </c>
      <c r="L84" s="59">
        <f t="shared" ref="L84" si="29">SUM(M84+N84)</f>
        <v>54.5</v>
      </c>
      <c r="M84" s="59">
        <v>54.5</v>
      </c>
      <c r="N84" s="59">
        <v>0</v>
      </c>
      <c r="O84" s="59">
        <v>0</v>
      </c>
    </row>
    <row r="85" spans="1:15" ht="24" customHeight="1">
      <c r="A85" s="86">
        <v>3140</v>
      </c>
      <c r="B85" s="76" t="s">
        <v>101</v>
      </c>
      <c r="C85" s="50">
        <f t="shared" si="14"/>
        <v>128.80000000000001</v>
      </c>
      <c r="D85" s="51">
        <v>128.80000000000001</v>
      </c>
      <c r="E85" s="50">
        <v>0</v>
      </c>
      <c r="F85" s="50">
        <v>0</v>
      </c>
      <c r="G85" s="53">
        <f t="shared" si="16"/>
        <v>128.80000000000001</v>
      </c>
      <c r="H85" s="50">
        <f>79.3+49.5</f>
        <v>128.80000000000001</v>
      </c>
      <c r="I85" s="50">
        <v>0</v>
      </c>
      <c r="J85" s="50">
        <v>0</v>
      </c>
      <c r="K85" s="50">
        <v>17.100000000000001</v>
      </c>
      <c r="L85" s="50">
        <f t="shared" si="18"/>
        <v>17.100000000000001</v>
      </c>
      <c r="M85" s="50">
        <v>17.100000000000001</v>
      </c>
      <c r="N85" s="50">
        <v>0</v>
      </c>
      <c r="O85" s="50">
        <v>0</v>
      </c>
    </row>
    <row r="86" spans="1:15" ht="48" customHeight="1">
      <c r="A86" s="86">
        <v>3160</v>
      </c>
      <c r="B86" s="76" t="s">
        <v>102</v>
      </c>
      <c r="C86" s="50">
        <f t="shared" si="14"/>
        <v>85.9</v>
      </c>
      <c r="D86" s="51">
        <v>85.9</v>
      </c>
      <c r="E86" s="50">
        <v>0</v>
      </c>
      <c r="F86" s="50">
        <v>0</v>
      </c>
      <c r="G86" s="53">
        <f t="shared" si="16"/>
        <v>85.9</v>
      </c>
      <c r="H86" s="50">
        <v>85.9</v>
      </c>
      <c r="I86" s="50">
        <v>0</v>
      </c>
      <c r="J86" s="50">
        <v>0</v>
      </c>
      <c r="K86" s="50">
        <v>0</v>
      </c>
      <c r="L86" s="50">
        <f t="shared" si="18"/>
        <v>0</v>
      </c>
      <c r="M86" s="50">
        <v>0</v>
      </c>
      <c r="N86" s="50">
        <v>0</v>
      </c>
      <c r="O86" s="50">
        <v>0</v>
      </c>
    </row>
    <row r="87" spans="1:15" ht="70.5" customHeight="1">
      <c r="A87" s="86">
        <v>3190</v>
      </c>
      <c r="B87" s="76" t="s">
        <v>103</v>
      </c>
      <c r="C87" s="50">
        <f t="shared" si="14"/>
        <v>90380.5</v>
      </c>
      <c r="D87" s="51">
        <v>90380.5</v>
      </c>
      <c r="E87" s="50">
        <v>0</v>
      </c>
      <c r="F87" s="50">
        <v>0</v>
      </c>
      <c r="G87" s="53">
        <f t="shared" si="16"/>
        <v>90380.5</v>
      </c>
      <c r="H87" s="50">
        <v>90380.5</v>
      </c>
      <c r="I87" s="50">
        <v>0</v>
      </c>
      <c r="J87" s="50">
        <v>0</v>
      </c>
      <c r="K87" s="50">
        <v>67338.3</v>
      </c>
      <c r="L87" s="50">
        <f t="shared" si="18"/>
        <v>67338.3</v>
      </c>
      <c r="M87" s="50">
        <v>67338.3</v>
      </c>
      <c r="N87" s="50">
        <v>0</v>
      </c>
      <c r="O87" s="50">
        <v>0</v>
      </c>
    </row>
    <row r="88" spans="1:15" ht="21.75" customHeight="1">
      <c r="A88" s="86">
        <v>3200</v>
      </c>
      <c r="B88" s="76" t="s">
        <v>104</v>
      </c>
      <c r="C88" s="50">
        <f t="shared" si="14"/>
        <v>958.6</v>
      </c>
      <c r="D88" s="51">
        <v>958.6</v>
      </c>
      <c r="E88" s="50">
        <v>0</v>
      </c>
      <c r="F88" s="50">
        <v>0</v>
      </c>
      <c r="G88" s="53">
        <f t="shared" si="16"/>
        <v>1467.7</v>
      </c>
      <c r="H88" s="50">
        <v>1467.7</v>
      </c>
      <c r="I88" s="50">
        <v>0</v>
      </c>
      <c r="J88" s="50">
        <v>0</v>
      </c>
      <c r="K88" s="50">
        <v>867</v>
      </c>
      <c r="L88" s="50">
        <f t="shared" si="18"/>
        <v>867</v>
      </c>
      <c r="M88" s="50">
        <v>867</v>
      </c>
      <c r="N88" s="50">
        <v>0</v>
      </c>
      <c r="O88" s="50">
        <v>0</v>
      </c>
    </row>
    <row r="89" spans="1:15" ht="21.75" customHeight="1">
      <c r="A89" s="86">
        <v>3300</v>
      </c>
      <c r="B89" s="76" t="s">
        <v>6</v>
      </c>
      <c r="C89" s="50">
        <f t="shared" si="14"/>
        <v>10702.7</v>
      </c>
      <c r="D89" s="51">
        <v>9147.5</v>
      </c>
      <c r="E89" s="50">
        <v>1555.2</v>
      </c>
      <c r="F89" s="50">
        <v>0</v>
      </c>
      <c r="G89" s="53">
        <f t="shared" si="16"/>
        <v>10706.1</v>
      </c>
      <c r="H89" s="50">
        <v>9147.5</v>
      </c>
      <c r="I89" s="50">
        <v>1558.6</v>
      </c>
      <c r="J89" s="50">
        <v>0</v>
      </c>
      <c r="K89" s="50">
        <v>4515.6000000000004</v>
      </c>
      <c r="L89" s="50">
        <f t="shared" si="18"/>
        <v>4799.7</v>
      </c>
      <c r="M89" s="50">
        <v>4128.8999999999996</v>
      </c>
      <c r="N89" s="50">
        <v>670.8</v>
      </c>
      <c r="O89" s="50">
        <v>0</v>
      </c>
    </row>
    <row r="90" spans="1:15" ht="21.75" customHeight="1">
      <c r="A90" s="86">
        <v>3400</v>
      </c>
      <c r="B90" s="76" t="s">
        <v>105</v>
      </c>
      <c r="C90" s="50">
        <f t="shared" si="14"/>
        <v>36062.9</v>
      </c>
      <c r="D90" s="51">
        <v>35657.9</v>
      </c>
      <c r="E90" s="50">
        <v>405</v>
      </c>
      <c r="F90" s="50">
        <v>405</v>
      </c>
      <c r="G90" s="53">
        <f t="shared" si="16"/>
        <v>38719.699999999997</v>
      </c>
      <c r="H90" s="50">
        <v>38314.699999999997</v>
      </c>
      <c r="I90" s="50">
        <v>405</v>
      </c>
      <c r="J90" s="50">
        <v>405</v>
      </c>
      <c r="K90" s="50">
        <v>30695.9</v>
      </c>
      <c r="L90" s="50">
        <f t="shared" si="18"/>
        <v>30209</v>
      </c>
      <c r="M90" s="50">
        <v>30188.9</v>
      </c>
      <c r="N90" s="50">
        <v>20.100000000000001</v>
      </c>
      <c r="O90" s="50">
        <v>20.100000000000001</v>
      </c>
    </row>
    <row r="91" spans="1:15" ht="21" customHeight="1">
      <c r="A91" s="86">
        <v>3500</v>
      </c>
      <c r="B91" s="97" t="s">
        <v>5</v>
      </c>
      <c r="C91" s="50">
        <f t="shared" si="14"/>
        <v>319</v>
      </c>
      <c r="D91" s="51">
        <v>319</v>
      </c>
      <c r="E91" s="50">
        <v>0</v>
      </c>
      <c r="F91" s="50">
        <v>0</v>
      </c>
      <c r="G91" s="53">
        <f t="shared" si="16"/>
        <v>319</v>
      </c>
      <c r="H91" s="50">
        <v>319</v>
      </c>
      <c r="I91" s="50">
        <v>0</v>
      </c>
      <c r="J91" s="50">
        <v>0</v>
      </c>
      <c r="K91" s="50">
        <v>193.4</v>
      </c>
      <c r="L91" s="50">
        <f t="shared" si="18"/>
        <v>193.4</v>
      </c>
      <c r="M91" s="50">
        <v>193.4</v>
      </c>
      <c r="N91" s="50">
        <v>0</v>
      </c>
      <c r="O91" s="50">
        <v>0</v>
      </c>
    </row>
    <row r="92" spans="1:15" ht="24.75" customHeight="1">
      <c r="A92" s="85">
        <v>4000</v>
      </c>
      <c r="B92" s="44" t="s">
        <v>15</v>
      </c>
      <c r="C92" s="46">
        <f t="shared" si="14"/>
        <v>166465.19999999998</v>
      </c>
      <c r="D92" s="47">
        <v>145833.29999999999</v>
      </c>
      <c r="E92" s="46">
        <v>20631.900000000001</v>
      </c>
      <c r="F92" s="46">
        <v>14678.1</v>
      </c>
      <c r="G92" s="84">
        <f>H92+I92</f>
        <v>175664.4</v>
      </c>
      <c r="H92" s="46">
        <v>146418.4</v>
      </c>
      <c r="I92" s="46">
        <v>29246</v>
      </c>
      <c r="J92" s="46">
        <v>23087.4</v>
      </c>
      <c r="K92" s="46">
        <v>82603</v>
      </c>
      <c r="L92" s="46">
        <f t="shared" si="18"/>
        <v>83364.399999999994</v>
      </c>
      <c r="M92" s="46">
        <v>68409</v>
      </c>
      <c r="N92" s="46">
        <v>14955.4</v>
      </c>
      <c r="O92" s="46">
        <v>12142.3</v>
      </c>
    </row>
    <row r="93" spans="1:15" ht="26.25" customHeight="1" thickBot="1">
      <c r="A93" s="85">
        <v>5000</v>
      </c>
      <c r="B93" s="122" t="s">
        <v>7</v>
      </c>
      <c r="C93" s="123">
        <f>D93+E93</f>
        <v>1913.1</v>
      </c>
      <c r="D93" s="124">
        <v>1913.1</v>
      </c>
      <c r="E93" s="123">
        <v>0</v>
      </c>
      <c r="F93" s="123">
        <v>0</v>
      </c>
      <c r="G93" s="125">
        <f>H93+I93</f>
        <v>68830.8</v>
      </c>
      <c r="H93" s="123">
        <v>43325.1</v>
      </c>
      <c r="I93" s="123">
        <v>25505.7</v>
      </c>
      <c r="J93" s="123">
        <v>24052.400000000001</v>
      </c>
      <c r="K93" s="123">
        <v>9611.5</v>
      </c>
      <c r="L93" s="123">
        <f>SUM(M93+N93)</f>
        <v>7730.1</v>
      </c>
      <c r="M93" s="123">
        <v>5968.7</v>
      </c>
      <c r="N93" s="123">
        <v>1761.4</v>
      </c>
      <c r="O93" s="123">
        <v>1573.1</v>
      </c>
    </row>
    <row r="94" spans="1:15" ht="28.5" customHeight="1">
      <c r="A94" s="85">
        <v>6000</v>
      </c>
      <c r="B94" s="126" t="s">
        <v>75</v>
      </c>
      <c r="C94" s="127">
        <f t="shared" si="14"/>
        <v>158200.70000000001</v>
      </c>
      <c r="D94" s="128">
        <f>SUM(D96:D100)</f>
        <v>105644.3</v>
      </c>
      <c r="E94" s="127">
        <f>SUM(E96:E100)</f>
        <v>52556.4</v>
      </c>
      <c r="F94" s="127">
        <f>SUM(F96:F100)</f>
        <v>52456.4</v>
      </c>
      <c r="G94" s="129">
        <f t="shared" si="16"/>
        <v>206849.8</v>
      </c>
      <c r="H94" s="127">
        <f>SUM(H96:H101)</f>
        <v>128905.5</v>
      </c>
      <c r="I94" s="127">
        <f t="shared" ref="I94:K94" si="30">SUM(I96:I101)</f>
        <v>77944.3</v>
      </c>
      <c r="J94" s="127">
        <f t="shared" si="30"/>
        <v>74075.5</v>
      </c>
      <c r="K94" s="127">
        <f t="shared" si="30"/>
        <v>77137.7</v>
      </c>
      <c r="L94" s="127">
        <f>M94+N94</f>
        <v>89165.1</v>
      </c>
      <c r="M94" s="127">
        <f>SUM(M96:M101)</f>
        <v>76402.5</v>
      </c>
      <c r="N94" s="127">
        <f t="shared" ref="N94:O94" si="31">SUM(N96:N101)</f>
        <v>12762.6</v>
      </c>
      <c r="O94" s="127">
        <f t="shared" si="31"/>
        <v>11301.6</v>
      </c>
    </row>
    <row r="95" spans="1:15" ht="17.25" customHeight="1">
      <c r="A95" s="86"/>
      <c r="B95" s="87" t="s">
        <v>4</v>
      </c>
      <c r="C95" s="50"/>
      <c r="D95" s="51"/>
      <c r="E95" s="50"/>
      <c r="F95" s="50"/>
      <c r="G95" s="53"/>
      <c r="H95" s="50"/>
      <c r="I95" s="50"/>
      <c r="J95" s="50"/>
      <c r="K95" s="50"/>
      <c r="L95" s="50" t="s">
        <v>0</v>
      </c>
      <c r="M95" s="50"/>
      <c r="N95" s="50"/>
      <c r="O95" s="50"/>
    </row>
    <row r="96" spans="1:15" ht="35.25" customHeight="1">
      <c r="A96" s="86">
        <v>6010</v>
      </c>
      <c r="B96" s="76" t="s">
        <v>106</v>
      </c>
      <c r="C96" s="50">
        <f t="shared" ref="C96:C101" si="32">D96+E96</f>
        <v>1416.5</v>
      </c>
      <c r="D96" s="51">
        <v>1416.5</v>
      </c>
      <c r="E96" s="50">
        <v>0</v>
      </c>
      <c r="F96" s="50">
        <v>0</v>
      </c>
      <c r="G96" s="53">
        <f t="shared" ref="G96:G101" si="33">H96+I96</f>
        <v>2079.5</v>
      </c>
      <c r="H96" s="50">
        <v>2079.5</v>
      </c>
      <c r="I96" s="50">
        <v>0</v>
      </c>
      <c r="J96" s="50">
        <v>0</v>
      </c>
      <c r="K96" s="50">
        <v>361.3</v>
      </c>
      <c r="L96" s="50">
        <f t="shared" ref="L96:L100" si="34">SUM(M96+N96)</f>
        <v>361.3</v>
      </c>
      <c r="M96" s="50">
        <v>361.3</v>
      </c>
      <c r="N96" s="50">
        <v>0</v>
      </c>
      <c r="O96" s="50">
        <v>0</v>
      </c>
    </row>
    <row r="97" spans="1:15" ht="24.75" customHeight="1">
      <c r="A97" s="86">
        <v>6020</v>
      </c>
      <c r="B97" s="97" t="s">
        <v>107</v>
      </c>
      <c r="C97" s="50">
        <f t="shared" si="32"/>
        <v>36177.800000000003</v>
      </c>
      <c r="D97" s="51">
        <v>0</v>
      </c>
      <c r="E97" s="50">
        <f>26177.8+10000</f>
        <v>36177.800000000003</v>
      </c>
      <c r="F97" s="50">
        <f>26077.8+10000</f>
        <v>36077.800000000003</v>
      </c>
      <c r="G97" s="53">
        <f t="shared" si="33"/>
        <v>49644.4</v>
      </c>
      <c r="H97" s="50">
        <v>0</v>
      </c>
      <c r="I97" s="50">
        <v>49644.4</v>
      </c>
      <c r="J97" s="50">
        <f>36077.8+10000</f>
        <v>46077.8</v>
      </c>
      <c r="K97" s="50">
        <v>0</v>
      </c>
      <c r="L97" s="50">
        <f t="shared" si="34"/>
        <v>6015.4000000000005</v>
      </c>
      <c r="M97" s="50">
        <v>0</v>
      </c>
      <c r="N97" s="50">
        <f>5916.3+99.1</f>
        <v>6015.4000000000005</v>
      </c>
      <c r="O97" s="50">
        <f>4634.3+99.1</f>
        <v>4733.4000000000005</v>
      </c>
    </row>
    <row r="98" spans="1:15" ht="21" customHeight="1">
      <c r="A98" s="86">
        <v>6050</v>
      </c>
      <c r="B98" s="97" t="s">
        <v>108</v>
      </c>
      <c r="C98" s="50">
        <f t="shared" si="32"/>
        <v>21000</v>
      </c>
      <c r="D98" s="51">
        <f>15000+6000</f>
        <v>21000</v>
      </c>
      <c r="E98" s="50">
        <v>0</v>
      </c>
      <c r="F98" s="50">
        <v>0</v>
      </c>
      <c r="G98" s="53">
        <f t="shared" si="33"/>
        <v>50169.4</v>
      </c>
      <c r="H98" s="50">
        <f>34000+6000</f>
        <v>40000</v>
      </c>
      <c r="I98" s="50">
        <v>10169.4</v>
      </c>
      <c r="J98" s="50">
        <f>3000+7169.4</f>
        <v>10169.4</v>
      </c>
      <c r="K98" s="50">
        <v>32409.4</v>
      </c>
      <c r="L98" s="50">
        <f t="shared" si="34"/>
        <v>33033.1</v>
      </c>
      <c r="M98" s="50">
        <v>32409.4</v>
      </c>
      <c r="N98" s="50">
        <v>623.70000000000005</v>
      </c>
      <c r="O98" s="50">
        <v>623.70000000000005</v>
      </c>
    </row>
    <row r="99" spans="1:15" ht="24.75" customHeight="1">
      <c r="A99" s="86">
        <v>6060</v>
      </c>
      <c r="B99" s="97" t="s">
        <v>109</v>
      </c>
      <c r="C99" s="50">
        <f t="shared" si="32"/>
        <v>94976.8</v>
      </c>
      <c r="D99" s="51">
        <v>78598.2</v>
      </c>
      <c r="E99" s="50">
        <v>16378.6</v>
      </c>
      <c r="F99" s="50">
        <v>16378.6</v>
      </c>
      <c r="G99" s="53">
        <f t="shared" si="33"/>
        <v>97292.4</v>
      </c>
      <c r="H99" s="50">
        <v>79161.899999999994</v>
      </c>
      <c r="I99" s="50">
        <v>18130.5</v>
      </c>
      <c r="J99" s="50">
        <v>17828.3</v>
      </c>
      <c r="K99" s="50">
        <v>38989.800000000003</v>
      </c>
      <c r="L99" s="50">
        <f t="shared" si="34"/>
        <v>44782.6</v>
      </c>
      <c r="M99" s="50">
        <v>38659.1</v>
      </c>
      <c r="N99" s="50">
        <v>6123.5</v>
      </c>
      <c r="O99" s="50">
        <v>5944.5</v>
      </c>
    </row>
    <row r="100" spans="1:15" ht="47.25">
      <c r="A100" s="86">
        <v>6130</v>
      </c>
      <c r="B100" s="76" t="s">
        <v>110</v>
      </c>
      <c r="C100" s="50">
        <f t="shared" si="32"/>
        <v>4629.6000000000004</v>
      </c>
      <c r="D100" s="51">
        <v>4629.6000000000004</v>
      </c>
      <c r="E100" s="50">
        <v>0</v>
      </c>
      <c r="F100" s="50">
        <v>0</v>
      </c>
      <c r="G100" s="53">
        <f t="shared" si="33"/>
        <v>7259.6</v>
      </c>
      <c r="H100" s="50">
        <v>7259.6</v>
      </c>
      <c r="I100" s="50">
        <v>0</v>
      </c>
      <c r="J100" s="50">
        <v>0</v>
      </c>
      <c r="K100" s="50">
        <v>4972.7</v>
      </c>
      <c r="L100" s="50">
        <f t="shared" si="34"/>
        <v>4972.7</v>
      </c>
      <c r="M100" s="50">
        <v>4972.7</v>
      </c>
      <c r="N100" s="50">
        <v>0</v>
      </c>
      <c r="O100" s="50">
        <v>0</v>
      </c>
    </row>
    <row r="101" spans="1:15" ht="141.75">
      <c r="A101" s="86">
        <v>6150</v>
      </c>
      <c r="B101" s="76" t="s">
        <v>111</v>
      </c>
      <c r="C101" s="50">
        <f t="shared" si="32"/>
        <v>0</v>
      </c>
      <c r="D101" s="51">
        <v>0</v>
      </c>
      <c r="E101" s="50">
        <v>0</v>
      </c>
      <c r="F101" s="50">
        <v>0</v>
      </c>
      <c r="G101" s="53">
        <f t="shared" si="33"/>
        <v>404.5</v>
      </c>
      <c r="H101" s="50">
        <v>404.5</v>
      </c>
      <c r="I101" s="50">
        <v>0</v>
      </c>
      <c r="J101" s="50">
        <v>0</v>
      </c>
      <c r="K101" s="50">
        <v>404.5</v>
      </c>
      <c r="L101" s="50">
        <f t="shared" ref="L101" si="35">SUM(M101+N101)</f>
        <v>0</v>
      </c>
      <c r="M101" s="50">
        <v>0</v>
      </c>
      <c r="N101" s="50">
        <v>0</v>
      </c>
      <c r="O101" s="50">
        <v>0</v>
      </c>
    </row>
    <row r="102" spans="1:15" ht="17.25" customHeight="1">
      <c r="A102" s="85">
        <v>6300</v>
      </c>
      <c r="B102" s="44" t="s">
        <v>76</v>
      </c>
      <c r="C102" s="46">
        <f>D102+E102</f>
        <v>76372.399999999994</v>
      </c>
      <c r="D102" s="46">
        <f>SUM(D104:D105)</f>
        <v>700</v>
      </c>
      <c r="E102" s="46">
        <f t="shared" ref="E102:F102" si="36">SUM(E104:E105)</f>
        <v>75672.399999999994</v>
      </c>
      <c r="F102" s="46">
        <f t="shared" si="36"/>
        <v>75672.399999999994</v>
      </c>
      <c r="G102" s="84">
        <f>H102+I102</f>
        <v>95238.2</v>
      </c>
      <c r="H102" s="46">
        <f>SUM(H104:H105)</f>
        <v>800</v>
      </c>
      <c r="I102" s="46">
        <f t="shared" ref="I102" si="37">SUM(I104:I105)</f>
        <v>94438.2</v>
      </c>
      <c r="J102" s="46">
        <f>SUM(J104:J105)</f>
        <v>94438.2</v>
      </c>
      <c r="K102" s="46">
        <f>SUM(K104:K105)</f>
        <v>0</v>
      </c>
      <c r="L102" s="46">
        <f>SUM(M102+N102)</f>
        <v>13187.9</v>
      </c>
      <c r="M102" s="46">
        <f>SUM(M104:M105)</f>
        <v>0</v>
      </c>
      <c r="N102" s="46">
        <f t="shared" ref="N102:O102" si="38">SUM(N104:N105)</f>
        <v>13187.9</v>
      </c>
      <c r="O102" s="46">
        <f t="shared" si="38"/>
        <v>13187.9</v>
      </c>
    </row>
    <row r="103" spans="1:15" ht="17.25" customHeight="1">
      <c r="A103" s="86"/>
      <c r="B103" s="87" t="s">
        <v>4</v>
      </c>
      <c r="C103" s="50"/>
      <c r="D103" s="51"/>
      <c r="E103" s="50"/>
      <c r="F103" s="50"/>
      <c r="G103" s="53"/>
      <c r="H103" s="50"/>
      <c r="I103" s="50"/>
      <c r="J103" s="50"/>
      <c r="K103" s="50"/>
      <c r="L103" s="50"/>
      <c r="M103" s="50"/>
      <c r="N103" s="50"/>
      <c r="O103" s="50"/>
    </row>
    <row r="104" spans="1:15" ht="24.75" customHeight="1">
      <c r="A104" s="86">
        <v>6310</v>
      </c>
      <c r="B104" s="97" t="s">
        <v>112</v>
      </c>
      <c r="C104" s="50">
        <f t="shared" ref="C104:C106" si="39">D104+E104</f>
        <v>69392.399999999994</v>
      </c>
      <c r="D104" s="51">
        <v>0</v>
      </c>
      <c r="E104" s="50">
        <v>69392.399999999994</v>
      </c>
      <c r="F104" s="50">
        <v>69392.399999999994</v>
      </c>
      <c r="G104" s="53">
        <f t="shared" ref="G104:G106" si="40">H104+I104</f>
        <v>88158.2</v>
      </c>
      <c r="H104" s="50">
        <v>0</v>
      </c>
      <c r="I104" s="50">
        <v>88158.2</v>
      </c>
      <c r="J104" s="50">
        <v>88158.2</v>
      </c>
      <c r="K104" s="50">
        <v>0</v>
      </c>
      <c r="L104" s="50">
        <f>SUM(M104+N104)</f>
        <v>13131.3</v>
      </c>
      <c r="M104" s="50">
        <v>0</v>
      </c>
      <c r="N104" s="50">
        <v>13131.3</v>
      </c>
      <c r="O104" s="50">
        <v>13131.3</v>
      </c>
    </row>
    <row r="105" spans="1:15" ht="27" customHeight="1">
      <c r="A105" s="86">
        <v>6430</v>
      </c>
      <c r="B105" s="76" t="s">
        <v>20</v>
      </c>
      <c r="C105" s="50">
        <f t="shared" si="39"/>
        <v>6980</v>
      </c>
      <c r="D105" s="51">
        <v>700</v>
      </c>
      <c r="E105" s="50">
        <v>6280</v>
      </c>
      <c r="F105" s="50">
        <v>6280</v>
      </c>
      <c r="G105" s="53">
        <f t="shared" si="40"/>
        <v>7080</v>
      </c>
      <c r="H105" s="50">
        <v>800</v>
      </c>
      <c r="I105" s="50">
        <v>6280</v>
      </c>
      <c r="J105" s="50">
        <v>6280</v>
      </c>
      <c r="K105" s="50">
        <v>0</v>
      </c>
      <c r="L105" s="50">
        <f>SUM(M105+N105)</f>
        <v>56.6</v>
      </c>
      <c r="M105" s="50">
        <v>0</v>
      </c>
      <c r="N105" s="50">
        <v>56.6</v>
      </c>
      <c r="O105" s="50">
        <v>56.6</v>
      </c>
    </row>
    <row r="106" spans="1:15" ht="27" customHeight="1">
      <c r="A106" s="85">
        <v>6600</v>
      </c>
      <c r="B106" s="44" t="s">
        <v>77</v>
      </c>
      <c r="C106" s="46">
        <f t="shared" si="39"/>
        <v>422883.09999999992</v>
      </c>
      <c r="D106" s="46">
        <f>SUM(D108:D112)</f>
        <v>412883.09999999992</v>
      </c>
      <c r="E106" s="46">
        <f t="shared" ref="E106:F106" si="41">SUM(E108:E112)</f>
        <v>10000</v>
      </c>
      <c r="F106" s="46">
        <f t="shared" si="41"/>
        <v>10000</v>
      </c>
      <c r="G106" s="84">
        <f t="shared" si="40"/>
        <v>465718.7</v>
      </c>
      <c r="H106" s="46">
        <f>SUM(H108:H112)</f>
        <v>446330</v>
      </c>
      <c r="I106" s="46">
        <f t="shared" ref="I106:K106" si="42">SUM(I108:I112)</f>
        <v>19388.7</v>
      </c>
      <c r="J106" s="46">
        <f t="shared" si="42"/>
        <v>19388.7</v>
      </c>
      <c r="K106" s="46">
        <f t="shared" si="42"/>
        <v>172919.9</v>
      </c>
      <c r="L106" s="46">
        <f>SUM(L108:L112)</f>
        <v>174458.1</v>
      </c>
      <c r="M106" s="46">
        <f>SUM(M108:M112)</f>
        <v>172512.5</v>
      </c>
      <c r="N106" s="46">
        <f t="shared" ref="N106:O106" si="43">SUM(N108:N112)</f>
        <v>1945.6</v>
      </c>
      <c r="O106" s="46">
        <f t="shared" si="43"/>
        <v>1945.6</v>
      </c>
    </row>
    <row r="107" spans="1:15" ht="18.75" customHeight="1">
      <c r="A107" s="86"/>
      <c r="B107" s="87" t="s">
        <v>4</v>
      </c>
      <c r="C107" s="50"/>
      <c r="D107" s="51"/>
      <c r="E107" s="50"/>
      <c r="F107" s="50"/>
      <c r="G107" s="53"/>
      <c r="H107" s="50"/>
      <c r="I107" s="50"/>
      <c r="J107" s="50"/>
      <c r="K107" s="50"/>
      <c r="L107" s="50"/>
      <c r="M107" s="50"/>
      <c r="N107" s="50"/>
      <c r="O107" s="50"/>
    </row>
    <row r="108" spans="1:15" ht="25.5" customHeight="1">
      <c r="A108" s="86">
        <v>6640</v>
      </c>
      <c r="B108" s="97" t="s">
        <v>8</v>
      </c>
      <c r="C108" s="50">
        <f t="shared" ref="C108:C135" si="44">D108+E108</f>
        <v>230769.4</v>
      </c>
      <c r="D108" s="51">
        <v>221769.4</v>
      </c>
      <c r="E108" s="50">
        <v>9000</v>
      </c>
      <c r="F108" s="50">
        <v>9000</v>
      </c>
      <c r="G108" s="53">
        <f t="shared" ref="G108:G112" si="45">H108+I108</f>
        <v>232969.4</v>
      </c>
      <c r="H108" s="50">
        <v>223669.4</v>
      </c>
      <c r="I108" s="50">
        <v>9300</v>
      </c>
      <c r="J108" s="50">
        <v>9300</v>
      </c>
      <c r="K108" s="50">
        <v>123818.5</v>
      </c>
      <c r="L108" s="50">
        <f>M108+N108</f>
        <v>125417.8</v>
      </c>
      <c r="M108" s="50">
        <v>123818.5</v>
      </c>
      <c r="N108" s="50">
        <v>1599.3</v>
      </c>
      <c r="O108" s="50">
        <v>1599.3</v>
      </c>
    </row>
    <row r="109" spans="1:15" ht="21" customHeight="1">
      <c r="A109" s="86">
        <v>6650</v>
      </c>
      <c r="B109" s="97" t="s">
        <v>113</v>
      </c>
      <c r="C109" s="50">
        <f t="shared" si="44"/>
        <v>176145.3</v>
      </c>
      <c r="D109" s="51">
        <v>175145.3</v>
      </c>
      <c r="E109" s="50">
        <v>1000</v>
      </c>
      <c r="F109" s="50">
        <v>1000</v>
      </c>
      <c r="G109" s="53">
        <f t="shared" si="45"/>
        <v>209000</v>
      </c>
      <c r="H109" s="50">
        <v>203000</v>
      </c>
      <c r="I109" s="50">
        <v>6000</v>
      </c>
      <c r="J109" s="50">
        <v>6000</v>
      </c>
      <c r="K109" s="50">
        <v>42255</v>
      </c>
      <c r="L109" s="50">
        <f>M109+N109</f>
        <v>42601.3</v>
      </c>
      <c r="M109" s="50">
        <v>42255</v>
      </c>
      <c r="N109" s="50">
        <v>346.3</v>
      </c>
      <c r="O109" s="50">
        <v>346.3</v>
      </c>
    </row>
    <row r="110" spans="1:15" ht="21.75" customHeight="1">
      <c r="A110" s="98">
        <v>6662</v>
      </c>
      <c r="B110" s="97" t="s">
        <v>114</v>
      </c>
      <c r="C110" s="50"/>
      <c r="D110" s="51"/>
      <c r="E110" s="50"/>
      <c r="F110" s="50"/>
      <c r="G110" s="53">
        <f t="shared" si="45"/>
        <v>4200</v>
      </c>
      <c r="H110" s="50">
        <v>3692.2</v>
      </c>
      <c r="I110" s="50">
        <v>507.8</v>
      </c>
      <c r="J110" s="50">
        <v>507.8</v>
      </c>
      <c r="K110" s="50">
        <v>0</v>
      </c>
      <c r="L110" s="50">
        <f>M110+N110</f>
        <v>0</v>
      </c>
      <c r="M110" s="50">
        <v>0</v>
      </c>
      <c r="N110" s="50">
        <v>0</v>
      </c>
      <c r="O110" s="50">
        <v>0</v>
      </c>
    </row>
    <row r="111" spans="1:15" ht="21.75" customHeight="1">
      <c r="A111" s="86">
        <v>6700</v>
      </c>
      <c r="B111" s="97" t="s">
        <v>10</v>
      </c>
      <c r="C111" s="50">
        <f t="shared" si="44"/>
        <v>10083.1</v>
      </c>
      <c r="D111" s="51">
        <v>10083.1</v>
      </c>
      <c r="E111" s="50">
        <v>0</v>
      </c>
      <c r="F111" s="50">
        <v>0</v>
      </c>
      <c r="G111" s="53">
        <f t="shared" si="45"/>
        <v>13664</v>
      </c>
      <c r="H111" s="50">
        <v>10083.1</v>
      </c>
      <c r="I111" s="50">
        <v>3580.9</v>
      </c>
      <c r="J111" s="50">
        <v>3580.9</v>
      </c>
      <c r="K111" s="50">
        <v>5281.5</v>
      </c>
      <c r="L111" s="50">
        <f>M111+N111</f>
        <v>5281.5</v>
      </c>
      <c r="M111" s="50">
        <v>5281.5</v>
      </c>
      <c r="N111" s="50">
        <v>0</v>
      </c>
      <c r="O111" s="46">
        <v>0</v>
      </c>
    </row>
    <row r="112" spans="1:15" ht="24.75" customHeight="1">
      <c r="A112" s="86">
        <v>6800</v>
      </c>
      <c r="B112" s="76" t="s">
        <v>16</v>
      </c>
      <c r="C112" s="50">
        <f t="shared" si="44"/>
        <v>5885.3</v>
      </c>
      <c r="D112" s="51">
        <v>5885.3</v>
      </c>
      <c r="E112" s="50">
        <v>0</v>
      </c>
      <c r="F112" s="50">
        <v>0</v>
      </c>
      <c r="G112" s="53">
        <f t="shared" si="45"/>
        <v>5885.3</v>
      </c>
      <c r="H112" s="50">
        <v>5885.3</v>
      </c>
      <c r="I112" s="50">
        <v>0</v>
      </c>
      <c r="J112" s="50">
        <v>0</v>
      </c>
      <c r="K112" s="50">
        <v>1564.9</v>
      </c>
      <c r="L112" s="50">
        <f t="shared" ref="L112:L113" si="46">SUM(M112+N112)</f>
        <v>1157.5</v>
      </c>
      <c r="M112" s="50">
        <v>1157.5</v>
      </c>
      <c r="N112" s="50">
        <v>0</v>
      </c>
      <c r="O112" s="50">
        <v>0</v>
      </c>
    </row>
    <row r="113" spans="1:15" ht="22.5" customHeight="1">
      <c r="A113" s="85">
        <v>7200</v>
      </c>
      <c r="B113" s="44" t="s">
        <v>115</v>
      </c>
      <c r="C113" s="46">
        <f t="shared" si="44"/>
        <v>11811.5</v>
      </c>
      <c r="D113" s="47">
        <v>10596.5</v>
      </c>
      <c r="E113" s="46">
        <v>1215</v>
      </c>
      <c r="F113" s="46">
        <v>1215</v>
      </c>
      <c r="G113" s="84">
        <f>H113+I113</f>
        <v>12145</v>
      </c>
      <c r="H113" s="46">
        <v>10930</v>
      </c>
      <c r="I113" s="46">
        <v>1215</v>
      </c>
      <c r="J113" s="46">
        <v>1215</v>
      </c>
      <c r="K113" s="46">
        <v>4757.8999999999996</v>
      </c>
      <c r="L113" s="46">
        <f t="shared" si="46"/>
        <v>4206.6000000000004</v>
      </c>
      <c r="M113" s="46">
        <v>4206.6000000000004</v>
      </c>
      <c r="N113" s="46">
        <v>0</v>
      </c>
      <c r="O113" s="46">
        <v>0</v>
      </c>
    </row>
    <row r="114" spans="1:15" ht="21" customHeight="1">
      <c r="A114" s="99">
        <v>7310</v>
      </c>
      <c r="B114" s="44" t="s">
        <v>116</v>
      </c>
      <c r="C114" s="46">
        <f t="shared" si="44"/>
        <v>7386.8</v>
      </c>
      <c r="D114" s="47">
        <v>7346.8</v>
      </c>
      <c r="E114" s="46">
        <v>40</v>
      </c>
      <c r="F114" s="46">
        <v>40</v>
      </c>
      <c r="G114" s="84">
        <f t="shared" ref="G114:G135" si="47">H114+I114</f>
        <v>7398.8</v>
      </c>
      <c r="H114" s="46">
        <v>108</v>
      </c>
      <c r="I114" s="46">
        <v>7290.8</v>
      </c>
      <c r="J114" s="46">
        <v>40</v>
      </c>
      <c r="K114" s="46">
        <v>0</v>
      </c>
      <c r="L114" s="46">
        <f>SUM(M114+N114)</f>
        <v>11.7</v>
      </c>
      <c r="M114" s="46">
        <v>0</v>
      </c>
      <c r="N114" s="46">
        <v>11.7</v>
      </c>
      <c r="O114" s="46">
        <v>0</v>
      </c>
    </row>
    <row r="115" spans="1:15" ht="25.5" customHeight="1">
      <c r="A115" s="85">
        <v>7400</v>
      </c>
      <c r="B115" s="44" t="s">
        <v>33</v>
      </c>
      <c r="C115" s="46">
        <f t="shared" si="44"/>
        <v>78789.5</v>
      </c>
      <c r="D115" s="46">
        <f>SUM(D117:D120)</f>
        <v>17113.8</v>
      </c>
      <c r="E115" s="46">
        <f t="shared" ref="E115:F115" si="48">SUM(E117:E120)</f>
        <v>61675.700000000004</v>
      </c>
      <c r="F115" s="46">
        <f t="shared" si="48"/>
        <v>61675.700000000004</v>
      </c>
      <c r="G115" s="84">
        <f t="shared" si="47"/>
        <v>162142.29999999999</v>
      </c>
      <c r="H115" s="46">
        <f>SUM(H117:H120)</f>
        <v>41079.899999999994</v>
      </c>
      <c r="I115" s="46">
        <f t="shared" ref="I115:J115" si="49">SUM(I117:I120)</f>
        <v>121062.39999999999</v>
      </c>
      <c r="J115" s="46">
        <f t="shared" si="49"/>
        <v>121062.39999999999</v>
      </c>
      <c r="K115" s="46">
        <f>SUM(K117:K120)</f>
        <v>4468.8</v>
      </c>
      <c r="L115" s="46">
        <f>SUM(M115+N115)</f>
        <v>76597.8</v>
      </c>
      <c r="M115" s="46">
        <f>SUM(M117:M120)</f>
        <v>4274</v>
      </c>
      <c r="N115" s="46">
        <f t="shared" ref="N115:O115" si="50">SUM(N117:N120)</f>
        <v>72323.8</v>
      </c>
      <c r="O115" s="46">
        <f t="shared" si="50"/>
        <v>72323.8</v>
      </c>
    </row>
    <row r="116" spans="1:15" ht="18" customHeight="1">
      <c r="A116" s="86"/>
      <c r="B116" s="87" t="s">
        <v>4</v>
      </c>
      <c r="C116" s="50"/>
      <c r="D116" s="51"/>
      <c r="E116" s="50"/>
      <c r="F116" s="50"/>
      <c r="G116" s="53"/>
      <c r="H116" s="50"/>
      <c r="I116" s="50"/>
      <c r="J116" s="50"/>
      <c r="K116" s="50"/>
      <c r="L116" s="50"/>
      <c r="M116" s="50"/>
      <c r="N116" s="50"/>
      <c r="O116" s="50"/>
    </row>
    <row r="117" spans="1:15" ht="18" customHeight="1">
      <c r="A117" s="86">
        <v>7410</v>
      </c>
      <c r="B117" s="97" t="s">
        <v>117</v>
      </c>
      <c r="C117" s="50">
        <f t="shared" ref="C117:C120" si="51">D117+E117</f>
        <v>2706</v>
      </c>
      <c r="D117" s="51">
        <v>2588.6</v>
      </c>
      <c r="E117" s="50">
        <v>117.4</v>
      </c>
      <c r="F117" s="50">
        <v>117.4</v>
      </c>
      <c r="G117" s="53">
        <f t="shared" ref="G117:G120" si="52">H117+I117</f>
        <v>22784</v>
      </c>
      <c r="H117" s="50">
        <v>22666.6</v>
      </c>
      <c r="I117" s="50">
        <v>117.4</v>
      </c>
      <c r="J117" s="50">
        <v>117.4</v>
      </c>
      <c r="K117" s="50">
        <v>382.7</v>
      </c>
      <c r="L117" s="50">
        <f>M117+N117</f>
        <v>304.7</v>
      </c>
      <c r="M117" s="50">
        <v>304.7</v>
      </c>
      <c r="N117" s="50">
        <v>0</v>
      </c>
      <c r="O117" s="50">
        <v>0</v>
      </c>
    </row>
    <row r="118" spans="1:15" ht="18.75">
      <c r="A118" s="86">
        <v>7450</v>
      </c>
      <c r="B118" s="97" t="s">
        <v>118</v>
      </c>
      <c r="C118" s="50">
        <f t="shared" si="51"/>
        <v>1224.0999999999999</v>
      </c>
      <c r="D118" s="51">
        <v>1224.0999999999999</v>
      </c>
      <c r="E118" s="50">
        <v>0</v>
      </c>
      <c r="F118" s="50">
        <v>0</v>
      </c>
      <c r="G118" s="53">
        <f t="shared" si="52"/>
        <v>1404.1</v>
      </c>
      <c r="H118" s="50">
        <v>1404.1</v>
      </c>
      <c r="I118" s="50">
        <v>0</v>
      </c>
      <c r="J118" s="50">
        <v>0</v>
      </c>
      <c r="K118" s="50">
        <v>250.7</v>
      </c>
      <c r="L118" s="50">
        <f>M118+N118</f>
        <v>250.7</v>
      </c>
      <c r="M118" s="50">
        <v>250.7</v>
      </c>
      <c r="N118" s="50">
        <v>0</v>
      </c>
      <c r="O118" s="50">
        <v>0</v>
      </c>
    </row>
    <row r="119" spans="1:15" ht="18.75">
      <c r="A119" s="86">
        <v>7470</v>
      </c>
      <c r="B119" s="97" t="s">
        <v>119</v>
      </c>
      <c r="C119" s="50">
        <f t="shared" si="51"/>
        <v>2500</v>
      </c>
      <c r="D119" s="51">
        <v>0</v>
      </c>
      <c r="E119" s="50">
        <v>2500</v>
      </c>
      <c r="F119" s="50">
        <v>2500</v>
      </c>
      <c r="G119" s="53">
        <f t="shared" si="52"/>
        <v>16230</v>
      </c>
      <c r="H119" s="50">
        <v>0</v>
      </c>
      <c r="I119" s="50">
        <v>16230</v>
      </c>
      <c r="J119" s="50">
        <v>16230</v>
      </c>
      <c r="K119" s="50">
        <v>0</v>
      </c>
      <c r="L119" s="50">
        <f>M119+N119</f>
        <v>1387.6</v>
      </c>
      <c r="M119" s="50">
        <v>0</v>
      </c>
      <c r="N119" s="50">
        <v>1387.6</v>
      </c>
      <c r="O119" s="50">
        <v>1387.6</v>
      </c>
    </row>
    <row r="120" spans="1:15" ht="24.75" customHeight="1" thickBot="1">
      <c r="A120" s="86">
        <v>7500</v>
      </c>
      <c r="B120" s="97" t="s">
        <v>120</v>
      </c>
      <c r="C120" s="50">
        <f t="shared" si="51"/>
        <v>72359.400000000009</v>
      </c>
      <c r="D120" s="51">
        <v>13301.1</v>
      </c>
      <c r="E120" s="50">
        <v>59058.3</v>
      </c>
      <c r="F120" s="50">
        <v>59058.3</v>
      </c>
      <c r="G120" s="53">
        <f t="shared" si="52"/>
        <v>121724.2</v>
      </c>
      <c r="H120" s="50">
        <v>17009.2</v>
      </c>
      <c r="I120" s="50">
        <v>104715</v>
      </c>
      <c r="J120" s="50">
        <v>104715</v>
      </c>
      <c r="K120" s="50">
        <v>3835.4</v>
      </c>
      <c r="L120" s="50">
        <f>M120+N120</f>
        <v>74654.8</v>
      </c>
      <c r="M120" s="50">
        <v>3718.6</v>
      </c>
      <c r="N120" s="50">
        <v>70936.2</v>
      </c>
      <c r="O120" s="50">
        <v>70936.2</v>
      </c>
    </row>
    <row r="121" spans="1:15" ht="31.5">
      <c r="A121" s="85">
        <v>7800</v>
      </c>
      <c r="B121" s="100" t="s">
        <v>11</v>
      </c>
      <c r="C121" s="101">
        <f t="shared" si="44"/>
        <v>2328.1</v>
      </c>
      <c r="D121" s="102">
        <v>2218.1</v>
      </c>
      <c r="E121" s="101">
        <v>110</v>
      </c>
      <c r="F121" s="101">
        <v>110</v>
      </c>
      <c r="G121" s="103">
        <f t="shared" si="47"/>
        <v>2492.4</v>
      </c>
      <c r="H121" s="101">
        <v>2382.4</v>
      </c>
      <c r="I121" s="101">
        <v>110</v>
      </c>
      <c r="J121" s="101">
        <v>110</v>
      </c>
      <c r="K121" s="101">
        <v>1041.8</v>
      </c>
      <c r="L121" s="101">
        <f>SUM(M121+N121)</f>
        <v>961.8</v>
      </c>
      <c r="M121" s="101">
        <v>874.9</v>
      </c>
      <c r="N121" s="101">
        <v>86.9</v>
      </c>
      <c r="O121" s="101">
        <v>86.9</v>
      </c>
    </row>
    <row r="122" spans="1:15" ht="18.75">
      <c r="A122" s="85">
        <v>8000</v>
      </c>
      <c r="B122" s="44" t="s">
        <v>46</v>
      </c>
      <c r="C122" s="46">
        <f>D122+E122</f>
        <v>1087523.3</v>
      </c>
      <c r="D122" s="46">
        <f>D124+D125+D128+D129+D130+D131+D132+D133+D134</f>
        <v>1073376.5</v>
      </c>
      <c r="E122" s="46">
        <f t="shared" ref="E122:F122" si="53">E124+E125+E128+E129+E130+E131+E132+E133+E134</f>
        <v>14146.800000000001</v>
      </c>
      <c r="F122" s="46">
        <f t="shared" si="53"/>
        <v>11046.800000000001</v>
      </c>
      <c r="G122" s="84">
        <f>H122+I122</f>
        <v>1077329.8</v>
      </c>
      <c r="H122" s="46">
        <f>H124+H125+H128+H129+H130+H131+H132+H133+H134</f>
        <v>1054314.9000000001</v>
      </c>
      <c r="I122" s="46">
        <f t="shared" ref="I122:J122" si="54">I124+I125+I128+I129+I130+I131+I132+I133+I134</f>
        <v>23014.899999999998</v>
      </c>
      <c r="J122" s="46">
        <f t="shared" si="54"/>
        <v>19914.899999999998</v>
      </c>
      <c r="K122" s="46">
        <f>K124+K125+K128+K129+K130+K131+K132+K133+K134</f>
        <v>521523</v>
      </c>
      <c r="L122" s="46">
        <f>SUM(M122:O122)</f>
        <v>544638.29999999993</v>
      </c>
      <c r="M122" s="46">
        <f>M124+M125+M128+M129+M130+M131+M132+M133+M134</f>
        <v>507061.39999999997</v>
      </c>
      <c r="N122" s="46">
        <f t="shared" ref="N122:O122" si="55">N124+N125+N128+N129+N130+N131+N132+N133+N134</f>
        <v>19600.900000000001</v>
      </c>
      <c r="O122" s="46">
        <f t="shared" si="55"/>
        <v>17976</v>
      </c>
    </row>
    <row r="123" spans="1:15" ht="18.75">
      <c r="A123" s="86"/>
      <c r="B123" s="87" t="s">
        <v>17</v>
      </c>
      <c r="C123" s="50"/>
      <c r="D123" s="51"/>
      <c r="E123" s="50"/>
      <c r="F123" s="50"/>
      <c r="G123" s="53"/>
      <c r="H123" s="50"/>
      <c r="I123" s="50"/>
      <c r="J123" s="50"/>
      <c r="K123" s="50"/>
      <c r="L123" s="50"/>
      <c r="M123" s="50"/>
      <c r="N123" s="50"/>
      <c r="O123" s="50"/>
    </row>
    <row r="124" spans="1:15" ht="18.75">
      <c r="A124" s="86">
        <v>8010</v>
      </c>
      <c r="B124" s="97" t="s">
        <v>9</v>
      </c>
      <c r="C124" s="50">
        <f t="shared" ref="C124:C125" si="56">D124+E124</f>
        <v>5889</v>
      </c>
      <c r="D124" s="51">
        <v>5889</v>
      </c>
      <c r="E124" s="50">
        <v>0</v>
      </c>
      <c r="F124" s="50">
        <v>0</v>
      </c>
      <c r="G124" s="53">
        <f t="shared" ref="G124" si="57">H124+I124</f>
        <v>5889</v>
      </c>
      <c r="H124" s="50">
        <v>5889</v>
      </c>
      <c r="I124" s="50">
        <v>0</v>
      </c>
      <c r="J124" s="50">
        <v>0</v>
      </c>
      <c r="K124" s="50">
        <v>0</v>
      </c>
      <c r="L124" s="50">
        <f t="shared" ref="L124:L125" si="58">SUM(M124+N124)</f>
        <v>0</v>
      </c>
      <c r="M124" s="50">
        <v>0</v>
      </c>
      <c r="N124" s="50">
        <v>0</v>
      </c>
      <c r="O124" s="50">
        <v>0</v>
      </c>
    </row>
    <row r="125" spans="1:15" ht="39.75" customHeight="1" thickBot="1">
      <c r="A125" s="86">
        <v>8100</v>
      </c>
      <c r="B125" s="119" t="s">
        <v>121</v>
      </c>
      <c r="C125" s="113">
        <f t="shared" si="56"/>
        <v>22.7</v>
      </c>
      <c r="D125" s="113">
        <f>SUM(D127:D127)</f>
        <v>22.7</v>
      </c>
      <c r="E125" s="113">
        <f>SUM(E127:E127)</f>
        <v>0</v>
      </c>
      <c r="F125" s="113">
        <f>SUM(F127:F127)</f>
        <v>0</v>
      </c>
      <c r="G125" s="130">
        <f>H125+I125</f>
        <v>39.200000000000003</v>
      </c>
      <c r="H125" s="113">
        <f>SUM(H127:H127)</f>
        <v>39.200000000000003</v>
      </c>
      <c r="I125" s="113">
        <f>SUM(I127:I127)</f>
        <v>0</v>
      </c>
      <c r="J125" s="113">
        <f>SUM(J127:J127)</f>
        <v>0</v>
      </c>
      <c r="K125" s="113">
        <f>SUM(K127:K127)</f>
        <v>29.9</v>
      </c>
      <c r="L125" s="113">
        <f t="shared" si="58"/>
        <v>29.9</v>
      </c>
      <c r="M125" s="113">
        <f>SUM(M127:M127)</f>
        <v>29.9</v>
      </c>
      <c r="N125" s="113">
        <f>SUM(N127:N127)</f>
        <v>0</v>
      </c>
      <c r="O125" s="113">
        <f>SUM(O127:O127)</f>
        <v>0</v>
      </c>
    </row>
    <row r="126" spans="1:15" ht="22.5" customHeight="1">
      <c r="A126" s="86"/>
      <c r="B126" s="131" t="s">
        <v>14</v>
      </c>
      <c r="C126" s="117"/>
      <c r="D126" s="118"/>
      <c r="E126" s="117"/>
      <c r="F126" s="117"/>
      <c r="G126" s="132"/>
      <c r="H126" s="117"/>
      <c r="I126" s="117"/>
      <c r="J126" s="117"/>
      <c r="K126" s="117"/>
      <c r="L126" s="117"/>
      <c r="M126" s="117"/>
      <c r="N126" s="117"/>
      <c r="O126" s="117"/>
    </row>
    <row r="127" spans="1:15" ht="55.5" customHeight="1">
      <c r="A127" s="94">
        <v>8108</v>
      </c>
      <c r="B127" s="93" t="s">
        <v>34</v>
      </c>
      <c r="C127" s="59">
        <f t="shared" ref="C127:C134" si="59">D127+E127</f>
        <v>22.7</v>
      </c>
      <c r="D127" s="60">
        <v>22.7</v>
      </c>
      <c r="E127" s="59">
        <v>0</v>
      </c>
      <c r="F127" s="59">
        <v>0</v>
      </c>
      <c r="G127" s="95">
        <f t="shared" ref="G127:G134" si="60">H127+I127</f>
        <v>39.200000000000003</v>
      </c>
      <c r="H127" s="59">
        <v>39.200000000000003</v>
      </c>
      <c r="I127" s="59">
        <v>0</v>
      </c>
      <c r="J127" s="59">
        <v>0</v>
      </c>
      <c r="K127" s="59">
        <v>29.9</v>
      </c>
      <c r="L127" s="59">
        <f t="shared" ref="L127" si="61">SUM(M127+N127)</f>
        <v>29.9</v>
      </c>
      <c r="M127" s="59">
        <v>29.9</v>
      </c>
      <c r="N127" s="59">
        <v>0</v>
      </c>
      <c r="O127" s="59">
        <v>0</v>
      </c>
    </row>
    <row r="128" spans="1:15" ht="21" customHeight="1">
      <c r="A128" s="86">
        <v>8120</v>
      </c>
      <c r="B128" s="76" t="s">
        <v>122</v>
      </c>
      <c r="C128" s="50">
        <f t="shared" si="59"/>
        <v>195007</v>
      </c>
      <c r="D128" s="51">
        <v>195007</v>
      </c>
      <c r="E128" s="50">
        <v>0</v>
      </c>
      <c r="F128" s="50">
        <v>0</v>
      </c>
      <c r="G128" s="53">
        <f t="shared" si="60"/>
        <v>195007</v>
      </c>
      <c r="H128" s="50">
        <v>195007</v>
      </c>
      <c r="I128" s="50">
        <v>0</v>
      </c>
      <c r="J128" s="50">
        <v>0</v>
      </c>
      <c r="K128" s="50">
        <v>97503.4</v>
      </c>
      <c r="L128" s="50">
        <f>SUM(M128+N128)</f>
        <v>97503.4</v>
      </c>
      <c r="M128" s="50">
        <v>97503.4</v>
      </c>
      <c r="N128" s="50">
        <v>0</v>
      </c>
      <c r="O128" s="50">
        <v>0</v>
      </c>
    </row>
    <row r="129" spans="1:15" ht="78" customHeight="1">
      <c r="A129" s="86">
        <v>8260</v>
      </c>
      <c r="B129" s="76" t="s">
        <v>123</v>
      </c>
      <c r="C129" s="50">
        <f t="shared" si="59"/>
        <v>743272.6</v>
      </c>
      <c r="D129" s="51">
        <v>743272.6</v>
      </c>
      <c r="E129" s="50">
        <v>0</v>
      </c>
      <c r="F129" s="50">
        <v>0</v>
      </c>
      <c r="G129" s="50">
        <f t="shared" si="60"/>
        <v>743272.6</v>
      </c>
      <c r="H129" s="50">
        <v>743272.6</v>
      </c>
      <c r="I129" s="50">
        <v>0</v>
      </c>
      <c r="J129" s="50">
        <v>0</v>
      </c>
      <c r="K129" s="50">
        <v>351428.8</v>
      </c>
      <c r="L129" s="50">
        <f t="shared" ref="L129:L130" si="62">SUM(M129+N129)</f>
        <v>345837.8</v>
      </c>
      <c r="M129" s="50">
        <v>345837.8</v>
      </c>
      <c r="N129" s="50">
        <v>0</v>
      </c>
      <c r="O129" s="50">
        <v>0</v>
      </c>
    </row>
    <row r="130" spans="1:15" ht="130.5" customHeight="1">
      <c r="A130" s="86">
        <v>8480</v>
      </c>
      <c r="B130" s="76" t="s">
        <v>124</v>
      </c>
      <c r="C130" s="50">
        <f t="shared" si="59"/>
        <v>10848.5</v>
      </c>
      <c r="D130" s="51">
        <v>10848.5</v>
      </c>
      <c r="E130" s="50">
        <v>0</v>
      </c>
      <c r="F130" s="50">
        <v>0</v>
      </c>
      <c r="G130" s="50">
        <f t="shared" si="60"/>
        <v>10848.5</v>
      </c>
      <c r="H130" s="50">
        <v>10848.5</v>
      </c>
      <c r="I130" s="50">
        <v>0</v>
      </c>
      <c r="J130" s="50">
        <v>0</v>
      </c>
      <c r="K130" s="50">
        <v>5081.2</v>
      </c>
      <c r="L130" s="50">
        <f t="shared" si="62"/>
        <v>4487.7</v>
      </c>
      <c r="M130" s="50">
        <v>4487.7</v>
      </c>
      <c r="N130" s="50">
        <v>0</v>
      </c>
      <c r="O130" s="50">
        <v>0</v>
      </c>
    </row>
    <row r="131" spans="1:15" ht="44.25" customHeight="1">
      <c r="A131" s="86">
        <v>8370</v>
      </c>
      <c r="B131" s="76" t="s">
        <v>125</v>
      </c>
      <c r="C131" s="50">
        <f t="shared" si="59"/>
        <v>0</v>
      </c>
      <c r="D131" s="51">
        <v>0</v>
      </c>
      <c r="E131" s="50">
        <v>0</v>
      </c>
      <c r="F131" s="50">
        <v>0</v>
      </c>
      <c r="G131" s="53">
        <f t="shared" si="60"/>
        <v>18252</v>
      </c>
      <c r="H131" s="50">
        <v>0</v>
      </c>
      <c r="I131" s="50">
        <v>18252</v>
      </c>
      <c r="J131" s="50">
        <v>18252</v>
      </c>
      <c r="K131" s="50">
        <v>0</v>
      </c>
      <c r="L131" s="50">
        <f>SUM(M131+N131)</f>
        <v>17920</v>
      </c>
      <c r="M131" s="50">
        <v>0</v>
      </c>
      <c r="N131" s="50">
        <v>17920</v>
      </c>
      <c r="O131" s="50">
        <v>17920</v>
      </c>
    </row>
    <row r="132" spans="1:15" ht="22.5" customHeight="1">
      <c r="A132" s="104">
        <v>8600</v>
      </c>
      <c r="B132" s="76" t="s">
        <v>5</v>
      </c>
      <c r="C132" s="50">
        <f t="shared" si="59"/>
        <v>32546</v>
      </c>
      <c r="D132" s="51">
        <v>18419.400000000001</v>
      </c>
      <c r="E132" s="50">
        <v>14126.6</v>
      </c>
      <c r="F132" s="50">
        <v>11026.6</v>
      </c>
      <c r="G132" s="53">
        <f t="shared" si="60"/>
        <v>20647</v>
      </c>
      <c r="H132" s="50">
        <v>17520.400000000001</v>
      </c>
      <c r="I132" s="50">
        <v>3126.6</v>
      </c>
      <c r="J132" s="50">
        <v>26.6</v>
      </c>
      <c r="K132" s="50">
        <v>10246.9</v>
      </c>
      <c r="L132" s="50">
        <f t="shared" ref="L132:L134" si="63">SUM(M132+N132)</f>
        <v>3631.3</v>
      </c>
      <c r="M132" s="50">
        <v>1979.8</v>
      </c>
      <c r="N132" s="50">
        <v>1651.5</v>
      </c>
      <c r="O132" s="50">
        <v>26.6</v>
      </c>
    </row>
    <row r="133" spans="1:15" ht="21" customHeight="1">
      <c r="A133" s="104">
        <v>8700</v>
      </c>
      <c r="B133" s="76" t="s">
        <v>48</v>
      </c>
      <c r="C133" s="50">
        <f t="shared" si="59"/>
        <v>99807.9</v>
      </c>
      <c r="D133" s="51">
        <v>99807.9</v>
      </c>
      <c r="E133" s="50">
        <v>0</v>
      </c>
      <c r="F133" s="50">
        <v>0</v>
      </c>
      <c r="G133" s="50">
        <f t="shared" si="60"/>
        <v>78329.2</v>
      </c>
      <c r="H133" s="50">
        <v>78329.2</v>
      </c>
      <c r="I133" s="50">
        <v>0</v>
      </c>
      <c r="J133" s="50">
        <v>0</v>
      </c>
      <c r="K133" s="50">
        <v>53823.8</v>
      </c>
      <c r="L133" s="50">
        <f t="shared" si="63"/>
        <v>53823.8</v>
      </c>
      <c r="M133" s="50">
        <v>53823.8</v>
      </c>
      <c r="N133" s="50">
        <v>0</v>
      </c>
      <c r="O133" s="50">
        <v>0</v>
      </c>
    </row>
    <row r="134" spans="1:15" ht="22.5" customHeight="1">
      <c r="A134" s="104">
        <v>8800</v>
      </c>
      <c r="B134" s="76" t="s">
        <v>35</v>
      </c>
      <c r="C134" s="50">
        <f t="shared" si="59"/>
        <v>129.6</v>
      </c>
      <c r="D134" s="51">
        <v>109.4</v>
      </c>
      <c r="E134" s="50">
        <v>20.2</v>
      </c>
      <c r="F134" s="50">
        <v>20.2</v>
      </c>
      <c r="G134" s="53">
        <f t="shared" si="60"/>
        <v>5045.3</v>
      </c>
      <c r="H134" s="50">
        <v>3409</v>
      </c>
      <c r="I134" s="50">
        <v>1636.3</v>
      </c>
      <c r="J134" s="50">
        <v>1636.3</v>
      </c>
      <c r="K134" s="50">
        <v>3409</v>
      </c>
      <c r="L134" s="50">
        <f t="shared" si="63"/>
        <v>3428.4</v>
      </c>
      <c r="M134" s="50">
        <v>3399</v>
      </c>
      <c r="N134" s="50">
        <v>29.4</v>
      </c>
      <c r="O134" s="50">
        <v>29.4</v>
      </c>
    </row>
    <row r="135" spans="1:15" ht="18.75">
      <c r="A135" s="85">
        <v>9100</v>
      </c>
      <c r="B135" s="44" t="s">
        <v>78</v>
      </c>
      <c r="C135" s="46">
        <f t="shared" si="44"/>
        <v>47540</v>
      </c>
      <c r="D135" s="46">
        <f>SUM(D137:D141)</f>
        <v>0</v>
      </c>
      <c r="E135" s="46">
        <f t="shared" ref="E135:F135" si="64">SUM(E137:E141)</f>
        <v>47540</v>
      </c>
      <c r="F135" s="46">
        <f t="shared" si="64"/>
        <v>0</v>
      </c>
      <c r="G135" s="84">
        <f t="shared" si="47"/>
        <v>73304.800000000003</v>
      </c>
      <c r="H135" s="46">
        <f>SUM(H137:H141)</f>
        <v>0</v>
      </c>
      <c r="I135" s="46">
        <f t="shared" ref="I135:L135" si="65">SUM(I137:I141)</f>
        <v>73304.800000000003</v>
      </c>
      <c r="J135" s="46">
        <f t="shared" si="65"/>
        <v>0</v>
      </c>
      <c r="K135" s="46">
        <f t="shared" si="65"/>
        <v>0</v>
      </c>
      <c r="L135" s="46">
        <f t="shared" si="65"/>
        <v>18138.2</v>
      </c>
      <c r="M135" s="46">
        <f>SUM(M137:M141)</f>
        <v>0</v>
      </c>
      <c r="N135" s="46">
        <f t="shared" ref="N135:O135" si="66">SUM(N137:N141)</f>
        <v>18138.2</v>
      </c>
      <c r="O135" s="46">
        <f t="shared" si="66"/>
        <v>0</v>
      </c>
    </row>
    <row r="136" spans="1:15" ht="18.75">
      <c r="A136" s="86"/>
      <c r="B136" s="87" t="s">
        <v>17</v>
      </c>
      <c r="C136" s="50"/>
      <c r="D136" s="51"/>
      <c r="E136" s="50"/>
      <c r="F136" s="50"/>
      <c r="G136" s="53"/>
      <c r="H136" s="50"/>
      <c r="I136" s="50"/>
      <c r="J136" s="50"/>
      <c r="K136" s="50"/>
      <c r="L136" s="50" t="s">
        <v>0</v>
      </c>
      <c r="M136" s="50"/>
      <c r="N136" s="50"/>
      <c r="O136" s="50"/>
    </row>
    <row r="137" spans="1:15" ht="24.75" customHeight="1">
      <c r="A137" s="105">
        <v>9110</v>
      </c>
      <c r="B137" s="97" t="s">
        <v>126</v>
      </c>
      <c r="C137" s="50">
        <f>D137+E137</f>
        <v>35818.199999999997</v>
      </c>
      <c r="D137" s="51">
        <v>0</v>
      </c>
      <c r="E137" s="50">
        <v>35818.199999999997</v>
      </c>
      <c r="F137" s="50">
        <v>0</v>
      </c>
      <c r="G137" s="53">
        <f>H137+I137</f>
        <v>38265.1</v>
      </c>
      <c r="H137" s="50">
        <v>0</v>
      </c>
      <c r="I137" s="50">
        <v>38265.1</v>
      </c>
      <c r="J137" s="50">
        <v>0</v>
      </c>
      <c r="K137" s="50">
        <v>0</v>
      </c>
      <c r="L137" s="50">
        <f>M137+N137</f>
        <v>15003.7</v>
      </c>
      <c r="M137" s="50">
        <v>0</v>
      </c>
      <c r="N137" s="50">
        <v>15003.7</v>
      </c>
      <c r="O137" s="50">
        <v>0</v>
      </c>
    </row>
    <row r="138" spans="1:15" ht="24.75" customHeight="1">
      <c r="A138" s="105">
        <v>9120</v>
      </c>
      <c r="B138" s="97" t="s">
        <v>127</v>
      </c>
      <c r="C138" s="50">
        <f t="shared" ref="C138:C140" si="67">D138+E138</f>
        <v>6776</v>
      </c>
      <c r="D138" s="51">
        <v>0</v>
      </c>
      <c r="E138" s="50">
        <v>6776</v>
      </c>
      <c r="F138" s="50">
        <v>0</v>
      </c>
      <c r="G138" s="53">
        <f t="shared" ref="G138:G140" si="68">H138+I138</f>
        <v>6776</v>
      </c>
      <c r="H138" s="50">
        <v>0</v>
      </c>
      <c r="I138" s="50">
        <v>6776</v>
      </c>
      <c r="J138" s="50">
        <v>0</v>
      </c>
      <c r="K138" s="50">
        <v>0</v>
      </c>
      <c r="L138" s="50">
        <f t="shared" ref="L138:L140" si="69">M138+N138</f>
        <v>1809.7</v>
      </c>
      <c r="M138" s="50">
        <v>0</v>
      </c>
      <c r="N138" s="50">
        <v>1809.7</v>
      </c>
      <c r="O138" s="50">
        <v>0</v>
      </c>
    </row>
    <row r="139" spans="1:15" ht="24.75" customHeight="1">
      <c r="A139" s="105">
        <v>9130</v>
      </c>
      <c r="B139" s="97" t="s">
        <v>128</v>
      </c>
      <c r="C139" s="50">
        <f t="shared" si="67"/>
        <v>344.3</v>
      </c>
      <c r="D139" s="51">
        <v>0</v>
      </c>
      <c r="E139" s="50">
        <v>344.3</v>
      </c>
      <c r="F139" s="50">
        <v>0</v>
      </c>
      <c r="G139" s="53">
        <f t="shared" si="68"/>
        <v>21897.200000000001</v>
      </c>
      <c r="H139" s="50">
        <v>0</v>
      </c>
      <c r="I139" s="50">
        <v>21897.200000000001</v>
      </c>
      <c r="J139" s="50">
        <v>0</v>
      </c>
      <c r="K139" s="50">
        <v>0</v>
      </c>
      <c r="L139" s="50">
        <f t="shared" si="69"/>
        <v>1008.1</v>
      </c>
      <c r="M139" s="50">
        <v>0</v>
      </c>
      <c r="N139" s="50">
        <v>1008.1</v>
      </c>
      <c r="O139" s="50">
        <v>0</v>
      </c>
    </row>
    <row r="140" spans="1:15" ht="25.5" customHeight="1">
      <c r="A140" s="105">
        <v>9140</v>
      </c>
      <c r="B140" s="97" t="s">
        <v>129</v>
      </c>
      <c r="C140" s="50">
        <f t="shared" si="67"/>
        <v>2361.5</v>
      </c>
      <c r="D140" s="51">
        <v>0</v>
      </c>
      <c r="E140" s="50">
        <v>2361.5</v>
      </c>
      <c r="F140" s="50">
        <v>0</v>
      </c>
      <c r="G140" s="53">
        <f t="shared" si="68"/>
        <v>2431.5</v>
      </c>
      <c r="H140" s="50">
        <v>0</v>
      </c>
      <c r="I140" s="50">
        <v>2431.5</v>
      </c>
      <c r="J140" s="50">
        <v>0</v>
      </c>
      <c r="K140" s="50">
        <v>0</v>
      </c>
      <c r="L140" s="50">
        <f t="shared" si="69"/>
        <v>2.9</v>
      </c>
      <c r="M140" s="50">
        <v>0</v>
      </c>
      <c r="N140" s="50">
        <v>2.9</v>
      </c>
      <c r="O140" s="50">
        <v>0</v>
      </c>
    </row>
    <row r="141" spans="1:15" ht="59.25" customHeight="1" thickBot="1">
      <c r="A141" s="86">
        <v>9180</v>
      </c>
      <c r="B141" s="119" t="s">
        <v>25</v>
      </c>
      <c r="C141" s="113">
        <f>D141+E141</f>
        <v>2240</v>
      </c>
      <c r="D141" s="114">
        <v>0</v>
      </c>
      <c r="E141" s="113">
        <v>2240</v>
      </c>
      <c r="F141" s="113">
        <v>0</v>
      </c>
      <c r="G141" s="130">
        <f>H141+I141</f>
        <v>3935</v>
      </c>
      <c r="H141" s="113">
        <v>0</v>
      </c>
      <c r="I141" s="113">
        <v>3935</v>
      </c>
      <c r="J141" s="113">
        <v>0</v>
      </c>
      <c r="K141" s="113">
        <v>0</v>
      </c>
      <c r="L141" s="113">
        <f>SUM(M141+N141)</f>
        <v>313.8</v>
      </c>
      <c r="M141" s="113">
        <v>0</v>
      </c>
      <c r="N141" s="113">
        <v>313.8</v>
      </c>
      <c r="O141" s="113">
        <v>0</v>
      </c>
    </row>
    <row r="142" spans="1:15" ht="32.25" customHeight="1" thickBot="1">
      <c r="A142" s="106"/>
      <c r="B142" s="12" t="s">
        <v>40</v>
      </c>
      <c r="C142" s="107">
        <f t="shared" ref="C142:C147" si="70">D142+E142</f>
        <v>5456014.5</v>
      </c>
      <c r="D142" s="107">
        <f>D68+D69+D70+D71++D92+D93+D94+D102+D106+D113+D114+D115+D121+D122+D135</f>
        <v>4991782.9000000004</v>
      </c>
      <c r="E142" s="107">
        <f>E68+E69+E70+E71++E92+E93+E94+E102+E106+E113+E114+E115+E121+E122+E135</f>
        <v>464231.6</v>
      </c>
      <c r="F142" s="107">
        <f>F68+F69+F70+F71++F92+F93+F94+F102+F106+F113+F114+F115+F121+F122+F135</f>
        <v>304271</v>
      </c>
      <c r="G142" s="108">
        <f t="shared" ref="G142:G147" si="71">H142+I142</f>
        <v>6035719.5000000009</v>
      </c>
      <c r="H142" s="108">
        <f>H68+H69+H70+H71++H92+H93+H94+H102+H106+H113+H114+H115+H121+H122+H135</f>
        <v>5297018.5000000009</v>
      </c>
      <c r="I142" s="108">
        <f>I68+I69+I70+I71++I92+I93+I94+I102+I106+I113+I114+I115+I121+I122+I135</f>
        <v>738701.00000000012</v>
      </c>
      <c r="J142" s="108">
        <f>J68+J69+J70+J71++J92+J93+J94+J102+J106+J113+J114+J115+J121+J122+J135</f>
        <v>521669.80000000005</v>
      </c>
      <c r="K142" s="108">
        <f>K68+K69+K70+K71++K92+K93+K94+K102+K106+K113+K114+K115+K121+K122+K135</f>
        <v>3141505.4999999995</v>
      </c>
      <c r="L142" s="108">
        <f>SUM(M142:N142)</f>
        <v>3240435.1</v>
      </c>
      <c r="M142" s="108">
        <f>M68+M69+M70+M71++M92+M93+M94+M102+M106+M113+M114+M115+M121+M122+M135</f>
        <v>2994957.3000000003</v>
      </c>
      <c r="N142" s="108">
        <f>N68+N69+N70+N71++N92+N93+N94+N102+N106+N113+N114+N115+N121+N122+N135</f>
        <v>245477.8</v>
      </c>
      <c r="O142" s="108">
        <f>O68+O69+O70+O71++O92+O93+O94+O102+O106+O113+O114+O115+O121+O122+O135</f>
        <v>158158.80000000002</v>
      </c>
    </row>
    <row r="143" spans="1:15" ht="56.25" customHeight="1">
      <c r="A143" s="86">
        <v>8100</v>
      </c>
      <c r="B143" s="76" t="s">
        <v>121</v>
      </c>
      <c r="C143" s="50">
        <f>D143+E143</f>
        <v>365.9</v>
      </c>
      <c r="D143" s="50">
        <f>SUM(D145:D146)</f>
        <v>365.9</v>
      </c>
      <c r="E143" s="50">
        <f t="shared" ref="E143:F143" si="72">SUM(E145:E146)</f>
        <v>0</v>
      </c>
      <c r="F143" s="50">
        <f t="shared" si="72"/>
        <v>0</v>
      </c>
      <c r="G143" s="53">
        <f t="shared" si="71"/>
        <v>640.29999999999995</v>
      </c>
      <c r="H143" s="50">
        <f>SUM(H145:H146)</f>
        <v>349.4</v>
      </c>
      <c r="I143" s="50">
        <f t="shared" ref="I143" si="73">SUM(I145:I146)</f>
        <v>290.89999999999998</v>
      </c>
      <c r="J143" s="50">
        <f>SUM(J145:J146)</f>
        <v>0</v>
      </c>
      <c r="K143" s="50">
        <f>SUM(K145:K146)</f>
        <v>195.7</v>
      </c>
      <c r="L143" s="50">
        <f t="shared" ref="L143" si="74">SUM(M143+N143)</f>
        <v>455.59999999999997</v>
      </c>
      <c r="M143" s="50">
        <f>SUM(M145:M146)</f>
        <v>195.7</v>
      </c>
      <c r="N143" s="50">
        <f t="shared" ref="N143:O143" si="75">SUM(N145:N146)</f>
        <v>259.89999999999998</v>
      </c>
      <c r="O143" s="50">
        <f t="shared" si="75"/>
        <v>0</v>
      </c>
    </row>
    <row r="144" spans="1:15" ht="21.75" customHeight="1">
      <c r="A144" s="86"/>
      <c r="B144" s="93" t="s">
        <v>14</v>
      </c>
      <c r="C144" s="50"/>
      <c r="D144" s="50"/>
      <c r="E144" s="50"/>
      <c r="F144" s="50"/>
      <c r="G144" s="53"/>
      <c r="H144" s="50"/>
      <c r="I144" s="50"/>
      <c r="J144" s="50"/>
      <c r="K144" s="50"/>
      <c r="L144" s="50"/>
      <c r="M144" s="50"/>
      <c r="N144" s="50"/>
      <c r="O144" s="50"/>
    </row>
    <row r="145" spans="1:15" ht="36" customHeight="1">
      <c r="A145" s="94">
        <v>8103</v>
      </c>
      <c r="B145" s="93" t="s">
        <v>18</v>
      </c>
      <c r="C145" s="50">
        <f t="shared" si="70"/>
        <v>378.2</v>
      </c>
      <c r="D145" s="50">
        <v>365.9</v>
      </c>
      <c r="E145" s="50">
        <v>12.3</v>
      </c>
      <c r="F145" s="50">
        <v>0</v>
      </c>
      <c r="G145" s="53">
        <f>H145+I145</f>
        <v>652.59999999999991</v>
      </c>
      <c r="H145" s="50">
        <v>349.4</v>
      </c>
      <c r="I145" s="50">
        <v>303.2</v>
      </c>
      <c r="J145" s="50">
        <v>0</v>
      </c>
      <c r="K145" s="50">
        <v>195.7</v>
      </c>
      <c r="L145" s="50">
        <f>M145+N145</f>
        <v>498.9</v>
      </c>
      <c r="M145" s="50">
        <v>195.7</v>
      </c>
      <c r="N145" s="50">
        <v>303.2</v>
      </c>
      <c r="O145" s="50">
        <v>0</v>
      </c>
    </row>
    <row r="146" spans="1:15" ht="34.5" customHeight="1" thickBot="1">
      <c r="A146" s="94">
        <v>8104</v>
      </c>
      <c r="B146" s="93" t="s">
        <v>19</v>
      </c>
      <c r="C146" s="50">
        <f t="shared" si="70"/>
        <v>-12.3</v>
      </c>
      <c r="D146" s="50">
        <v>0</v>
      </c>
      <c r="E146" s="50">
        <v>-12.3</v>
      </c>
      <c r="F146" s="50">
        <v>0</v>
      </c>
      <c r="G146" s="53">
        <f t="shared" si="71"/>
        <v>-12.3</v>
      </c>
      <c r="H146" s="50">
        <v>0</v>
      </c>
      <c r="I146" s="50">
        <v>-12.3</v>
      </c>
      <c r="J146" s="50">
        <v>0</v>
      </c>
      <c r="K146" s="50">
        <v>0</v>
      </c>
      <c r="L146" s="50">
        <f>M146+N146</f>
        <v>-43.3</v>
      </c>
      <c r="M146" s="50">
        <v>0</v>
      </c>
      <c r="N146" s="50">
        <v>-43.3</v>
      </c>
      <c r="O146" s="50">
        <v>0</v>
      </c>
    </row>
    <row r="147" spans="1:15" ht="32.25" customHeight="1" thickBot="1">
      <c r="A147" s="106"/>
      <c r="B147" s="12" t="s">
        <v>29</v>
      </c>
      <c r="C147" s="107">
        <f t="shared" si="70"/>
        <v>5456380.4000000004</v>
      </c>
      <c r="D147" s="107">
        <f>D142+D143</f>
        <v>4992148.8000000007</v>
      </c>
      <c r="E147" s="107">
        <f t="shared" ref="E147:F147" si="76">E142+E143</f>
        <v>464231.6</v>
      </c>
      <c r="F147" s="107">
        <f t="shared" si="76"/>
        <v>304271</v>
      </c>
      <c r="G147" s="108">
        <f t="shared" si="71"/>
        <v>6036359.8000000017</v>
      </c>
      <c r="H147" s="108">
        <f>H142+H143</f>
        <v>5297367.9000000013</v>
      </c>
      <c r="I147" s="108">
        <f t="shared" ref="I147:J147" si="77">I142+I143</f>
        <v>738991.90000000014</v>
      </c>
      <c r="J147" s="107">
        <f t="shared" si="77"/>
        <v>521669.80000000005</v>
      </c>
      <c r="K147" s="107">
        <f>K142+K143</f>
        <v>3141701.1999999997</v>
      </c>
      <c r="L147" s="107">
        <f t="shared" ref="L147" si="78">L142+L145+L146</f>
        <v>3240890.7</v>
      </c>
      <c r="M147" s="107">
        <f>M142+M143</f>
        <v>2995153.0000000005</v>
      </c>
      <c r="N147" s="107">
        <f t="shared" ref="N147:O147" si="79">N142+N143</f>
        <v>245737.69999999998</v>
      </c>
      <c r="O147" s="107">
        <f t="shared" si="79"/>
        <v>158158.80000000002</v>
      </c>
    </row>
    <row r="148" spans="1:15" ht="24" hidden="1" customHeight="1">
      <c r="A148" s="30">
        <v>250380</v>
      </c>
      <c r="B148" s="11" t="s">
        <v>35</v>
      </c>
      <c r="C148" s="33">
        <f t="shared" ref="C148" si="80">D148+E148</f>
        <v>0</v>
      </c>
      <c r="D148" s="34">
        <v>0</v>
      </c>
      <c r="E148" s="33"/>
      <c r="F148" s="33">
        <v>0</v>
      </c>
      <c r="G148" s="33">
        <f t="shared" ref="G148" si="81">H148+I148</f>
        <v>0</v>
      </c>
      <c r="H148" s="33"/>
      <c r="I148" s="33"/>
      <c r="J148" s="33">
        <v>0</v>
      </c>
      <c r="K148" s="33">
        <f t="shared" ref="K148" si="82">SUM(L148+M148)</f>
        <v>0</v>
      </c>
      <c r="L148" s="33"/>
      <c r="M148" s="33">
        <v>0</v>
      </c>
      <c r="N148" s="33">
        <v>0</v>
      </c>
    </row>
    <row r="149" spans="1:15" ht="16.5">
      <c r="A149" s="31"/>
      <c r="B149" s="25"/>
      <c r="C149" s="1"/>
      <c r="D149" s="1"/>
      <c r="E149" s="1"/>
      <c r="F149" s="1"/>
      <c r="G149" s="1"/>
      <c r="H149" s="18"/>
      <c r="I149" s="1"/>
      <c r="J149" s="18"/>
      <c r="K149" s="1"/>
      <c r="L149" s="18"/>
      <c r="M149" s="18"/>
    </row>
    <row r="150" spans="1:15" ht="9.75" customHeight="1">
      <c r="A150" s="31"/>
      <c r="B150" s="25"/>
      <c r="C150" s="1"/>
      <c r="D150" s="1"/>
      <c r="E150" s="1"/>
      <c r="F150" s="1"/>
      <c r="G150" s="1"/>
      <c r="H150" s="18"/>
      <c r="I150" s="1"/>
      <c r="J150" s="18"/>
      <c r="K150" s="1"/>
      <c r="L150" s="18"/>
      <c r="M150" s="18"/>
    </row>
    <row r="151" spans="1:15" ht="16.5" hidden="1">
      <c r="A151" s="32"/>
      <c r="B151" s="6"/>
      <c r="C151" s="7"/>
      <c r="D151" s="2"/>
      <c r="E151" s="28"/>
      <c r="F151" s="28"/>
      <c r="G151" s="28"/>
      <c r="H151" s="27"/>
      <c r="I151" s="28"/>
      <c r="J151" s="27"/>
      <c r="K151" s="27"/>
      <c r="L151" s="27"/>
      <c r="M151" s="27"/>
      <c r="N151" s="27"/>
    </row>
    <row r="152" spans="1:15" ht="45" customHeight="1">
      <c r="B152" s="35" t="s">
        <v>136</v>
      </c>
      <c r="C152" s="17"/>
      <c r="D152" s="133" t="s">
        <v>137</v>
      </c>
      <c r="E152" s="133"/>
      <c r="F152" s="133"/>
      <c r="G152" s="133"/>
      <c r="I152" s="26"/>
      <c r="L152" s="19"/>
      <c r="M152" s="19"/>
    </row>
    <row r="153" spans="1:15" ht="27">
      <c r="B153" s="15"/>
      <c r="C153" s="14"/>
      <c r="D153" s="14"/>
      <c r="E153" s="14"/>
      <c r="F153" s="2"/>
      <c r="G153" s="2"/>
      <c r="H153" s="20"/>
      <c r="I153" s="2"/>
      <c r="J153" s="20"/>
      <c r="K153" s="2"/>
      <c r="L153" s="20"/>
      <c r="M153" s="20"/>
    </row>
    <row r="154" spans="1:15" ht="16.5">
      <c r="B154" s="25"/>
      <c r="E154" s="20"/>
      <c r="F154" s="20"/>
      <c r="G154" s="26"/>
      <c r="H154" s="24"/>
      <c r="I154" s="20"/>
      <c r="J154" s="20"/>
      <c r="K154" s="2"/>
      <c r="L154" s="20"/>
      <c r="M154" s="20"/>
    </row>
    <row r="155" spans="1:15" ht="16.5">
      <c r="B155" s="25"/>
      <c r="C155" s="2"/>
      <c r="D155" s="2"/>
      <c r="E155" s="20"/>
      <c r="F155" s="20"/>
      <c r="G155" s="26"/>
      <c r="H155" s="24"/>
      <c r="I155" s="20"/>
      <c r="J155" s="20"/>
      <c r="K155" s="2"/>
      <c r="L155" s="20"/>
      <c r="M155" s="20"/>
    </row>
    <row r="156" spans="1:15">
      <c r="B156" s="25"/>
      <c r="C156" s="25"/>
      <c r="D156" s="25"/>
      <c r="E156" s="26"/>
      <c r="F156" s="26"/>
      <c r="G156" s="26"/>
      <c r="H156" s="24"/>
      <c r="I156" s="26"/>
      <c r="K156" s="25"/>
    </row>
    <row r="157" spans="1:15">
      <c r="B157" s="25"/>
      <c r="C157" s="25"/>
      <c r="D157" s="25"/>
      <c r="E157" s="26"/>
      <c r="F157" s="26"/>
      <c r="G157" s="26"/>
      <c r="H157" s="24"/>
      <c r="I157" s="26"/>
      <c r="K157" s="25"/>
    </row>
    <row r="158" spans="1:15">
      <c r="B158" s="25"/>
      <c r="C158" s="25"/>
      <c r="D158" s="25"/>
      <c r="E158" s="26"/>
      <c r="F158" s="26"/>
      <c r="G158" s="26"/>
      <c r="H158" s="24"/>
      <c r="I158" s="26"/>
      <c r="K158" s="25"/>
    </row>
    <row r="159" spans="1:15">
      <c r="B159" s="25"/>
      <c r="C159" s="25"/>
      <c r="D159" s="25"/>
      <c r="E159" s="26"/>
      <c r="F159" s="26"/>
      <c r="G159" s="26"/>
      <c r="H159" s="24"/>
      <c r="I159" s="26"/>
      <c r="K159" s="25"/>
    </row>
    <row r="160" spans="1:15">
      <c r="B160" s="25"/>
      <c r="C160" s="25"/>
      <c r="D160" s="25"/>
      <c r="E160" s="26"/>
      <c r="F160" s="26"/>
      <c r="G160" s="26"/>
      <c r="H160" s="24"/>
      <c r="I160" s="26"/>
      <c r="K160" s="25"/>
    </row>
    <row r="161" spans="2:11">
      <c r="B161" s="25"/>
      <c r="C161" s="25"/>
      <c r="D161" s="25"/>
      <c r="E161" s="26"/>
      <c r="F161" s="26"/>
      <c r="G161" s="26"/>
      <c r="H161" s="24"/>
      <c r="I161" s="26"/>
      <c r="K161" s="25"/>
    </row>
    <row r="162" spans="2:11">
      <c r="B162" s="25"/>
      <c r="C162" s="25"/>
      <c r="D162" s="25"/>
      <c r="E162" s="26"/>
      <c r="F162" s="26"/>
      <c r="G162" s="26"/>
      <c r="H162" s="24"/>
      <c r="I162" s="26"/>
      <c r="K162" s="25"/>
    </row>
    <row r="163" spans="2:11">
      <c r="B163" s="25"/>
      <c r="C163" s="25"/>
      <c r="D163" s="25"/>
      <c r="E163" s="26"/>
      <c r="F163" s="26"/>
      <c r="G163" s="26"/>
      <c r="H163" s="24"/>
      <c r="I163" s="26"/>
      <c r="K163" s="25"/>
    </row>
    <row r="164" spans="2:11">
      <c r="B164" s="25"/>
      <c r="C164" s="25"/>
      <c r="D164" s="25"/>
      <c r="E164" s="26"/>
      <c r="F164" s="26"/>
      <c r="G164" s="26"/>
      <c r="H164" s="24"/>
      <c r="I164" s="26"/>
      <c r="K164" s="25"/>
    </row>
    <row r="165" spans="2:11">
      <c r="B165" s="25"/>
      <c r="C165" s="25"/>
      <c r="D165" s="25"/>
      <c r="E165" s="26"/>
      <c r="F165" s="26"/>
      <c r="G165" s="26"/>
      <c r="H165" s="24"/>
      <c r="I165" s="26"/>
      <c r="K165" s="25"/>
    </row>
    <row r="166" spans="2:11">
      <c r="B166" s="25"/>
      <c r="C166" s="25"/>
      <c r="D166" s="25"/>
      <c r="E166" s="26"/>
      <c r="F166" s="26"/>
      <c r="G166" s="26"/>
      <c r="H166" s="24"/>
      <c r="I166" s="26"/>
      <c r="K166" s="25"/>
    </row>
    <row r="167" spans="2:11">
      <c r="B167" s="25"/>
      <c r="C167" s="25"/>
      <c r="D167" s="25"/>
      <c r="E167" s="26"/>
      <c r="F167" s="26"/>
      <c r="G167" s="26"/>
      <c r="H167" s="24"/>
      <c r="I167" s="26"/>
      <c r="K167" s="25"/>
    </row>
    <row r="168" spans="2:11">
      <c r="B168" s="25"/>
      <c r="C168" s="25"/>
      <c r="D168" s="25"/>
      <c r="E168" s="26"/>
      <c r="F168" s="26"/>
      <c r="G168" s="26"/>
      <c r="H168" s="24"/>
      <c r="I168" s="26"/>
      <c r="K168" s="25"/>
    </row>
    <row r="169" spans="2:11">
      <c r="B169" s="25"/>
      <c r="C169" s="25"/>
      <c r="D169" s="25"/>
      <c r="E169" s="26"/>
      <c r="F169" s="26"/>
      <c r="G169" s="26"/>
      <c r="H169" s="24"/>
      <c r="I169" s="26"/>
      <c r="K169" s="25"/>
    </row>
    <row r="170" spans="2:11">
      <c r="B170" s="25"/>
      <c r="C170" s="25"/>
      <c r="D170" s="25"/>
      <c r="E170" s="26"/>
      <c r="F170" s="26"/>
      <c r="G170" s="26"/>
      <c r="H170" s="24"/>
      <c r="I170" s="26"/>
      <c r="K170" s="25"/>
    </row>
    <row r="171" spans="2:11">
      <c r="B171" s="25"/>
      <c r="C171" s="25"/>
      <c r="D171" s="25"/>
      <c r="E171" s="26"/>
      <c r="F171" s="26"/>
      <c r="G171" s="26"/>
      <c r="H171" s="24"/>
      <c r="I171" s="26"/>
      <c r="K171" s="25"/>
    </row>
    <row r="172" spans="2:11">
      <c r="B172" s="25"/>
      <c r="C172" s="25"/>
      <c r="D172" s="25"/>
      <c r="E172" s="26"/>
      <c r="F172" s="26"/>
      <c r="G172" s="26"/>
      <c r="H172" s="24"/>
      <c r="I172" s="26"/>
      <c r="K172" s="25"/>
    </row>
    <row r="173" spans="2:11">
      <c r="B173" s="25"/>
      <c r="C173" s="25"/>
      <c r="D173" s="25"/>
      <c r="E173" s="26"/>
      <c r="F173" s="26"/>
      <c r="G173" s="26"/>
      <c r="H173" s="24"/>
      <c r="I173" s="26"/>
      <c r="K173" s="25"/>
    </row>
    <row r="174" spans="2:11" ht="16.5">
      <c r="B174" s="25"/>
      <c r="C174" s="25"/>
      <c r="D174" s="25"/>
      <c r="E174" s="20"/>
      <c r="F174" s="20"/>
      <c r="G174" s="26"/>
      <c r="H174" s="24"/>
      <c r="I174" s="20"/>
      <c r="K174" s="25"/>
    </row>
    <row r="175" spans="2:11" ht="16.5">
      <c r="E175" s="20"/>
      <c r="F175" s="20"/>
      <c r="G175" s="26"/>
      <c r="H175" s="24"/>
      <c r="I175" s="20"/>
    </row>
    <row r="176" spans="2:11">
      <c r="E176" s="26"/>
      <c r="F176" s="26"/>
      <c r="G176" s="26"/>
      <c r="H176" s="24"/>
      <c r="I176" s="26"/>
    </row>
    <row r="177" spans="5:9">
      <c r="E177" s="26"/>
      <c r="F177" s="26"/>
      <c r="G177" s="26"/>
      <c r="H177" s="24"/>
      <c r="I177" s="26"/>
    </row>
    <row r="178" spans="5:9">
      <c r="E178" s="26"/>
      <c r="F178" s="26"/>
      <c r="G178" s="26"/>
      <c r="H178" s="24"/>
      <c r="I178" s="26"/>
    </row>
    <row r="179" spans="5:9">
      <c r="E179" s="26"/>
      <c r="F179" s="26"/>
      <c r="G179" s="26"/>
      <c r="H179" s="24"/>
      <c r="I179" s="26"/>
    </row>
    <row r="180" spans="5:9">
      <c r="E180" s="26"/>
      <c r="F180" s="26"/>
      <c r="G180" s="26"/>
      <c r="H180" s="24"/>
      <c r="I180" s="26"/>
    </row>
    <row r="181" spans="5:9">
      <c r="E181" s="26"/>
      <c r="F181" s="26"/>
      <c r="G181" s="26"/>
      <c r="H181" s="24"/>
      <c r="I181" s="26"/>
    </row>
    <row r="182" spans="5:9">
      <c r="E182" s="26"/>
      <c r="F182" s="26"/>
      <c r="G182" s="26"/>
      <c r="H182" s="24"/>
      <c r="I182" s="26"/>
    </row>
    <row r="183" spans="5:9">
      <c r="E183" s="26"/>
      <c r="F183" s="26"/>
      <c r="G183" s="26"/>
      <c r="H183" s="24"/>
      <c r="I183" s="26"/>
    </row>
    <row r="184" spans="5:9">
      <c r="E184" s="26"/>
      <c r="F184" s="26"/>
      <c r="G184" s="26"/>
      <c r="H184" s="24"/>
      <c r="I184" s="26"/>
    </row>
  </sheetData>
  <mergeCells count="25">
    <mergeCell ref="L8:L12"/>
    <mergeCell ref="M8:O8"/>
    <mergeCell ref="O9:O12"/>
    <mergeCell ref="I2:O2"/>
    <mergeCell ref="I1:O1"/>
    <mergeCell ref="A8:A12"/>
    <mergeCell ref="B8:B12"/>
    <mergeCell ref="C8:C12"/>
    <mergeCell ref="D8:F8"/>
    <mergeCell ref="F9:F12"/>
    <mergeCell ref="G8:G12"/>
    <mergeCell ref="J3:N3"/>
    <mergeCell ref="B4:M4"/>
    <mergeCell ref="B5:M5"/>
    <mergeCell ref="B6:M6"/>
    <mergeCell ref="H8:J8"/>
    <mergeCell ref="N9:N12"/>
    <mergeCell ref="M9:M12"/>
    <mergeCell ref="K8:K12"/>
    <mergeCell ref="D152:G152"/>
    <mergeCell ref="J9:J12"/>
    <mergeCell ref="E9:E12"/>
    <mergeCell ref="D9:D12"/>
    <mergeCell ref="I9:I12"/>
    <mergeCell ref="H9:H12"/>
  </mergeCells>
  <phoneticPr fontId="0" type="noConversion"/>
  <printOptions horizontalCentered="1"/>
  <pageMargins left="0.19685039370078741" right="0.19685039370078741" top="0.43307086614173229" bottom="0.39370078740157483" header="0" footer="0.39370078740157483"/>
  <pageSetup paperSize="9" scale="55" fitToHeight="0" orientation="landscape" r:id="rId1"/>
  <headerFooter differentFirst="1" alignWithMargins="0">
    <oddHeader>&amp;C&amp;"Times New Roman,курсив"&amp;24&amp;P&amp;R&amp;"Times New Roman,курсив"&amp;20Продовження додатка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2016м</vt:lpstr>
      <vt:lpstr>'2016м'!Заголовки_для_печати</vt:lpstr>
      <vt:lpstr>'2016м'!Область_печати</vt:lpstr>
    </vt:vector>
  </TitlesOfParts>
  <Company>OEM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org301</cp:lastModifiedBy>
  <cp:lastPrinted>2017-07-12T06:59:37Z</cp:lastPrinted>
  <dcterms:created xsi:type="dcterms:W3CDTF">2004-02-10T09:04:32Z</dcterms:created>
  <dcterms:modified xsi:type="dcterms:W3CDTF">2017-07-26T08:41:15Z</dcterms:modified>
</cp:coreProperties>
</file>