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org301\Desktop\Виконком_листопад\ПРОЄКТИ\ДРІМ\301 ДРИМ 1209\"/>
    </mc:Choice>
  </mc:AlternateContent>
  <bookViews>
    <workbookView xWindow="0" yWindow="0" windowWidth="20490" windowHeight="7155"/>
  </bookViews>
  <sheets>
    <sheet name="Дод_2" sheetId="6" r:id="rId1"/>
    <sheet name="Б-т 2025" sheetId="7" r:id="rId2"/>
  </sheets>
  <definedNames>
    <definedName name="_xlnm.Print_Titles" localSheetId="0">Дод_2!$16:$17</definedName>
    <definedName name="_xlnm.Print_Area" localSheetId="0">Дод_2!$A$1:$M$142</definedName>
  </definedNames>
  <calcPr calcId="152511"/>
</workbook>
</file>

<file path=xl/calcChain.xml><?xml version="1.0" encoding="utf-8"?>
<calcChain xmlns="http://schemas.openxmlformats.org/spreadsheetml/2006/main">
  <c r="H113" i="6" l="1"/>
  <c r="I83" i="6" l="1"/>
  <c r="Q265" i="7" l="1"/>
  <c r="K265" i="7"/>
  <c r="K57" i="6"/>
  <c r="J57" i="6"/>
  <c r="I57" i="6"/>
  <c r="K43" i="6" l="1"/>
  <c r="L123" i="6" l="1"/>
  <c r="L121" i="6" l="1"/>
  <c r="L114" i="6"/>
  <c r="L115" i="6"/>
  <c r="L111" i="6"/>
  <c r="L109" i="6"/>
  <c r="L108" i="6"/>
  <c r="L107" i="6"/>
  <c r="L106" i="6"/>
  <c r="L103" i="6"/>
  <c r="L99" i="6"/>
  <c r="L94" i="6"/>
  <c r="K93" i="6"/>
  <c r="L91" i="6"/>
  <c r="L89" i="6"/>
  <c r="L96" i="6" s="1"/>
  <c r="L88" i="6"/>
  <c r="L86" i="6"/>
  <c r="L84" i="6"/>
  <c r="L83" i="6"/>
  <c r="L82" i="6"/>
  <c r="L81" i="6"/>
  <c r="L79" i="6"/>
  <c r="L77" i="6"/>
  <c r="L75" i="6"/>
  <c r="L74" i="6"/>
  <c r="L73" i="6"/>
  <c r="L72" i="6"/>
  <c r="L71" i="6"/>
  <c r="L69" i="6"/>
  <c r="L67" i="6"/>
  <c r="L66" i="6"/>
  <c r="L64" i="6"/>
  <c r="L63" i="6"/>
  <c r="L62" i="6"/>
  <c r="L61" i="6"/>
  <c r="L59" i="6"/>
  <c r="L58" i="6"/>
  <c r="L56" i="6"/>
  <c r="L55" i="6"/>
  <c r="L54" i="6"/>
  <c r="L49" i="6"/>
  <c r="L48" i="6"/>
  <c r="L47" i="6"/>
  <c r="L45" i="6"/>
  <c r="L42" i="6"/>
  <c r="L41" i="6"/>
  <c r="L40" i="6"/>
  <c r="L39" i="6"/>
  <c r="L52" i="6" s="1"/>
  <c r="L38" i="6"/>
  <c r="L31" i="6"/>
  <c r="L27" i="6"/>
  <c r="L26" i="6"/>
  <c r="L25" i="6"/>
  <c r="L23" i="6"/>
  <c r="L22" i="6"/>
  <c r="L21" i="6"/>
  <c r="L19" i="6"/>
  <c r="L16" i="6"/>
  <c r="L15" i="6"/>
  <c r="L14" i="6"/>
  <c r="L13" i="6"/>
  <c r="S273" i="7" l="1"/>
  <c r="R273" i="7"/>
  <c r="Q273" i="7"/>
  <c r="K273" i="7"/>
  <c r="K30" i="6" l="1"/>
  <c r="K119" i="6" s="1"/>
  <c r="J60" i="6"/>
  <c r="H60" i="6"/>
  <c r="K60" i="6"/>
  <c r="K51" i="6"/>
  <c r="K118" i="6" s="1"/>
  <c r="K110" i="6"/>
  <c r="J110" i="6"/>
  <c r="I68" i="6"/>
  <c r="L68" i="6" s="1"/>
  <c r="L57" i="6"/>
  <c r="L60" i="6" s="1"/>
  <c r="J43" i="6"/>
  <c r="J50" i="6" s="1"/>
  <c r="I43" i="6"/>
  <c r="I20" i="6"/>
  <c r="K50" i="6"/>
  <c r="J93" i="6"/>
  <c r="H102" i="6"/>
  <c r="K102" i="6"/>
  <c r="J102" i="6"/>
  <c r="I102" i="6"/>
  <c r="H110" i="6"/>
  <c r="I93" i="6" l="1"/>
  <c r="L102" i="6"/>
  <c r="I60" i="6"/>
  <c r="K28" i="6"/>
  <c r="S264" i="7"/>
  <c r="R264" i="7"/>
  <c r="R269" i="7"/>
  <c r="R267" i="7"/>
  <c r="Q258" i="7"/>
  <c r="Q270" i="7"/>
  <c r="Q269" i="7"/>
  <c r="Q268" i="7"/>
  <c r="Q267" i="7"/>
  <c r="Q266" i="7"/>
  <c r="Q256" i="7"/>
  <c r="Q264" i="7"/>
  <c r="Q263" i="7"/>
  <c r="Q260" i="7"/>
  <c r="Q261" i="7"/>
  <c r="Q257" i="7"/>
  <c r="O249" i="7"/>
  <c r="M249" i="7"/>
  <c r="M250" i="7"/>
  <c r="I249" i="7"/>
  <c r="H249" i="7"/>
  <c r="G249" i="7"/>
  <c r="F249" i="7"/>
  <c r="E249" i="7"/>
  <c r="K248" i="7"/>
  <c r="K249" i="7" s="1"/>
  <c r="O246" i="7"/>
  <c r="M246" i="7"/>
  <c r="L246" i="7"/>
  <c r="K246" i="7"/>
  <c r="G246" i="7"/>
  <c r="F246" i="7"/>
  <c r="H246" i="7" s="1"/>
  <c r="E246" i="7"/>
  <c r="M243" i="7"/>
  <c r="L243" i="7"/>
  <c r="I243" i="7"/>
  <c r="G243" i="7"/>
  <c r="F243" i="7"/>
  <c r="E243" i="7"/>
  <c r="O242" i="7"/>
  <c r="H242" i="7"/>
  <c r="H241" i="7"/>
  <c r="O240" i="7"/>
  <c r="O243" i="7" s="1"/>
  <c r="I240" i="7"/>
  <c r="H240" i="7"/>
  <c r="K239" i="7"/>
  <c r="K238" i="7"/>
  <c r="K235" i="7" s="1"/>
  <c r="K243" i="7" s="1"/>
  <c r="K237" i="7"/>
  <c r="K236" i="7"/>
  <c r="O235" i="7"/>
  <c r="I235" i="7"/>
  <c r="H235" i="7"/>
  <c r="H243" i="7" s="1"/>
  <c r="O233" i="7"/>
  <c r="M233" i="7"/>
  <c r="L233" i="7"/>
  <c r="J233" i="7"/>
  <c r="I233" i="7"/>
  <c r="E233" i="7"/>
  <c r="K232" i="7"/>
  <c r="K231" i="7"/>
  <c r="K233" i="7" s="1"/>
  <c r="F229" i="7"/>
  <c r="H229" i="7" s="1"/>
  <c r="H228" i="7"/>
  <c r="F228" i="7"/>
  <c r="H227" i="7"/>
  <c r="F227" i="7"/>
  <c r="K226" i="7"/>
  <c r="G226" i="7"/>
  <c r="F226" i="7"/>
  <c r="H226" i="7" s="1"/>
  <c r="H225" i="7"/>
  <c r="G225" i="7"/>
  <c r="G233" i="7" s="1"/>
  <c r="F225" i="7"/>
  <c r="F233" i="7" s="1"/>
  <c r="M223" i="7"/>
  <c r="M7" i="7" s="1"/>
  <c r="F223" i="7"/>
  <c r="H223" i="7" s="1"/>
  <c r="K221" i="7"/>
  <c r="H221" i="7"/>
  <c r="F220" i="7"/>
  <c r="H220" i="7" s="1"/>
  <c r="O219" i="7"/>
  <c r="K219" i="7"/>
  <c r="I219" i="7"/>
  <c r="H219" i="7"/>
  <c r="H218" i="7"/>
  <c r="H217" i="7"/>
  <c r="H216" i="7"/>
  <c r="H215" i="7"/>
  <c r="H214" i="7"/>
  <c r="H213" i="7"/>
  <c r="H211" i="7" s="1"/>
  <c r="M212" i="7"/>
  <c r="L212" i="7"/>
  <c r="L211" i="7" s="1"/>
  <c r="K212" i="7"/>
  <c r="K211" i="7" s="1"/>
  <c r="K223" i="7" s="1"/>
  <c r="H212" i="7"/>
  <c r="O211" i="7"/>
  <c r="M211" i="7"/>
  <c r="I211" i="7"/>
  <c r="G211" i="7"/>
  <c r="F211" i="7"/>
  <c r="E211" i="7"/>
  <c r="H210" i="7"/>
  <c r="H209" i="7"/>
  <c r="H207" i="7" s="1"/>
  <c r="H208" i="7"/>
  <c r="O207" i="7"/>
  <c r="O223" i="7" s="1"/>
  <c r="M207" i="7"/>
  <c r="L207" i="7"/>
  <c r="L223" i="7" s="1"/>
  <c r="L7" i="7" s="1"/>
  <c r="K207" i="7"/>
  <c r="I207" i="7"/>
  <c r="I223" i="7" s="1"/>
  <c r="G207" i="7"/>
  <c r="G223" i="7" s="1"/>
  <c r="F207" i="7"/>
  <c r="E207" i="7"/>
  <c r="E223" i="7" s="1"/>
  <c r="E7" i="7" s="1"/>
  <c r="I206" i="7"/>
  <c r="H206" i="7"/>
  <c r="F206" i="7"/>
  <c r="O204" i="7"/>
  <c r="M204" i="7"/>
  <c r="L204" i="7"/>
  <c r="K204" i="7"/>
  <c r="J204" i="7"/>
  <c r="J7" i="7" s="1"/>
  <c r="I204" i="7"/>
  <c r="G204" i="7"/>
  <c r="E204" i="7"/>
  <c r="F202" i="7"/>
  <c r="F201" i="7"/>
  <c r="H200" i="7"/>
  <c r="H199" i="7"/>
  <c r="F199" i="7"/>
  <c r="F204" i="7" s="1"/>
  <c r="H198" i="7"/>
  <c r="H197" i="7"/>
  <c r="H204" i="7" s="1"/>
  <c r="O195" i="7"/>
  <c r="M195" i="7"/>
  <c r="M161" i="7" s="1"/>
  <c r="L195" i="7"/>
  <c r="L161" i="7" s="1"/>
  <c r="I195" i="7"/>
  <c r="F195" i="7"/>
  <c r="E195" i="7"/>
  <c r="E161" i="7" s="1"/>
  <c r="K194" i="7"/>
  <c r="K195" i="7" s="1"/>
  <c r="G194" i="7"/>
  <c r="G195" i="7" s="1"/>
  <c r="F194" i="7"/>
  <c r="H194" i="7" s="1"/>
  <c r="H195" i="7" s="1"/>
  <c r="H193" i="7"/>
  <c r="O191" i="7"/>
  <c r="M191" i="7"/>
  <c r="L191" i="7"/>
  <c r="I191" i="7"/>
  <c r="G191" i="7"/>
  <c r="E191" i="7"/>
  <c r="H190" i="7"/>
  <c r="F190" i="7"/>
  <c r="K189" i="7"/>
  <c r="H189" i="7"/>
  <c r="F189" i="7"/>
  <c r="H188" i="7"/>
  <c r="K187" i="7"/>
  <c r="K191" i="7" s="1"/>
  <c r="F187" i="7"/>
  <c r="H187" i="7" s="1"/>
  <c r="M185" i="7"/>
  <c r="L185" i="7"/>
  <c r="K185" i="7"/>
  <c r="G185" i="7"/>
  <c r="F185" i="7"/>
  <c r="E185" i="7"/>
  <c r="O184" i="7"/>
  <c r="O185" i="7" s="1"/>
  <c r="I184" i="7"/>
  <c r="I185" i="7" s="1"/>
  <c r="H184" i="7"/>
  <c r="H185" i="7" s="1"/>
  <c r="O182" i="7"/>
  <c r="M182" i="7"/>
  <c r="L182" i="7"/>
  <c r="K182" i="7"/>
  <c r="H182" i="7"/>
  <c r="G182" i="7"/>
  <c r="F182" i="7"/>
  <c r="E182" i="7"/>
  <c r="O181" i="7"/>
  <c r="I181" i="7"/>
  <c r="I182" i="7" s="1"/>
  <c r="H181" i="7"/>
  <c r="G179" i="7"/>
  <c r="E179" i="7"/>
  <c r="F178" i="7"/>
  <c r="F179" i="7" s="1"/>
  <c r="G176" i="7"/>
  <c r="F176" i="7"/>
  <c r="E176" i="7"/>
  <c r="F174" i="7"/>
  <c r="E172" i="7"/>
  <c r="G170" i="7"/>
  <c r="F170" i="7"/>
  <c r="G167" i="7"/>
  <c r="F167" i="7"/>
  <c r="E167" i="7"/>
  <c r="E170" i="7" s="1"/>
  <c r="R161" i="7"/>
  <c r="H159" i="7"/>
  <c r="O157" i="7"/>
  <c r="M157" i="7"/>
  <c r="I157" i="7"/>
  <c r="H157" i="7"/>
  <c r="G157" i="7"/>
  <c r="F157" i="7"/>
  <c r="E157" i="7"/>
  <c r="O156" i="7"/>
  <c r="M156" i="7"/>
  <c r="L156" i="7"/>
  <c r="L157" i="7" s="1"/>
  <c r="K156" i="7"/>
  <c r="K155" i="7"/>
  <c r="H155" i="7"/>
  <c r="K154" i="7"/>
  <c r="K157" i="7" s="1"/>
  <c r="H154" i="7"/>
  <c r="O152" i="7"/>
  <c r="M152" i="7"/>
  <c r="L152" i="7"/>
  <c r="K152" i="7"/>
  <c r="I152" i="7"/>
  <c r="G152" i="7"/>
  <c r="F152" i="7"/>
  <c r="E152" i="7"/>
  <c r="H151" i="7"/>
  <c r="H152" i="7" s="1"/>
  <c r="G149" i="7"/>
  <c r="G148" i="7"/>
  <c r="G147" i="7"/>
  <c r="G146" i="7" s="1"/>
  <c r="F146" i="7"/>
  <c r="E146" i="7"/>
  <c r="G145" i="7"/>
  <c r="G144" i="7"/>
  <c r="G143" i="7"/>
  <c r="F143" i="7"/>
  <c r="E143" i="7"/>
  <c r="G142" i="7"/>
  <c r="G141" i="7"/>
  <c r="G140" i="7"/>
  <c r="G139" i="7"/>
  <c r="G138" i="7" s="1"/>
  <c r="F138" i="7"/>
  <c r="E138" i="7"/>
  <c r="G137" i="7"/>
  <c r="G136" i="7"/>
  <c r="G135" i="7"/>
  <c r="G134" i="7" s="1"/>
  <c r="F134" i="7"/>
  <c r="E134" i="7"/>
  <c r="E128" i="7" s="1"/>
  <c r="G133" i="7"/>
  <c r="G132" i="7"/>
  <c r="G131" i="7"/>
  <c r="G129" i="7" s="1"/>
  <c r="G130" i="7"/>
  <c r="F129" i="7"/>
  <c r="E129" i="7"/>
  <c r="F128" i="7"/>
  <c r="F125" i="7"/>
  <c r="H125" i="7" s="1"/>
  <c r="O124" i="7"/>
  <c r="M124" i="7"/>
  <c r="L124" i="7"/>
  <c r="K124" i="7"/>
  <c r="I124" i="7"/>
  <c r="H124" i="7"/>
  <c r="O123" i="7"/>
  <c r="M123" i="7"/>
  <c r="L123" i="7"/>
  <c r="K123" i="7"/>
  <c r="I123" i="7"/>
  <c r="G123" i="7"/>
  <c r="E123" i="7"/>
  <c r="H122" i="7"/>
  <c r="O121" i="7"/>
  <c r="M121" i="7"/>
  <c r="L121" i="7"/>
  <c r="K121" i="7"/>
  <c r="I121" i="7"/>
  <c r="G121" i="7"/>
  <c r="F121" i="7"/>
  <c r="H121" i="7" s="1"/>
  <c r="E121" i="7"/>
  <c r="H120" i="7"/>
  <c r="O119" i="7"/>
  <c r="K119" i="7"/>
  <c r="H119" i="7"/>
  <c r="H118" i="7"/>
  <c r="H116" i="7" s="1"/>
  <c r="H117" i="7"/>
  <c r="O116" i="7"/>
  <c r="O126" i="7" s="1"/>
  <c r="M116" i="7"/>
  <c r="M126" i="7" s="1"/>
  <c r="L116" i="7"/>
  <c r="L126" i="7" s="1"/>
  <c r="K116" i="7"/>
  <c r="K126" i="7" s="1"/>
  <c r="I116" i="7"/>
  <c r="I126" i="7" s="1"/>
  <c r="G116" i="7"/>
  <c r="G126" i="7" s="1"/>
  <c r="F116" i="7"/>
  <c r="E116" i="7"/>
  <c r="E126" i="7" s="1"/>
  <c r="O114" i="7"/>
  <c r="M114" i="7"/>
  <c r="L114" i="7"/>
  <c r="K114" i="7"/>
  <c r="J114" i="7"/>
  <c r="I114" i="7"/>
  <c r="G114" i="7"/>
  <c r="E114" i="7"/>
  <c r="K113" i="7"/>
  <c r="H113" i="7"/>
  <c r="F112" i="7"/>
  <c r="H112" i="7" s="1"/>
  <c r="H114" i="7" s="1"/>
  <c r="F110" i="7"/>
  <c r="H109" i="7"/>
  <c r="H108" i="7"/>
  <c r="K107" i="7"/>
  <c r="H107" i="7"/>
  <c r="K106" i="7"/>
  <c r="K102" i="7" s="1"/>
  <c r="H106" i="7"/>
  <c r="H105" i="7"/>
  <c r="H104" i="7"/>
  <c r="O103" i="7"/>
  <c r="M103" i="7"/>
  <c r="L103" i="7"/>
  <c r="K103" i="7"/>
  <c r="I103" i="7"/>
  <c r="H103" i="7"/>
  <c r="O102" i="7"/>
  <c r="M102" i="7"/>
  <c r="L102" i="7"/>
  <c r="I102" i="7"/>
  <c r="G102" i="7"/>
  <c r="F102" i="7"/>
  <c r="H102" i="7" s="1"/>
  <c r="E102" i="7"/>
  <c r="E110" i="7" s="1"/>
  <c r="O101" i="7"/>
  <c r="L101" i="7"/>
  <c r="H101" i="7"/>
  <c r="H100" i="7"/>
  <c r="H99" i="7"/>
  <c r="O98" i="7"/>
  <c r="M98" i="7"/>
  <c r="L98" i="7"/>
  <c r="K98" i="7"/>
  <c r="I98" i="7"/>
  <c r="I110" i="7" s="1"/>
  <c r="G98" i="7"/>
  <c r="F98" i="7"/>
  <c r="H98" i="7" s="1"/>
  <c r="E98" i="7"/>
  <c r="L97" i="7"/>
  <c r="H97" i="7"/>
  <c r="M96" i="7"/>
  <c r="L96" i="7"/>
  <c r="H96" i="7"/>
  <c r="G96" i="7"/>
  <c r="G110" i="7" s="1"/>
  <c r="F96" i="7"/>
  <c r="H95" i="7"/>
  <c r="L94" i="7"/>
  <c r="H94" i="7"/>
  <c r="K93" i="7"/>
  <c r="H93" i="7"/>
  <c r="L92" i="7"/>
  <c r="M92" i="7" s="1"/>
  <c r="H92" i="7"/>
  <c r="O91" i="7"/>
  <c r="L91" i="7"/>
  <c r="H91" i="7"/>
  <c r="O90" i="7"/>
  <c r="L90" i="7"/>
  <c r="H90" i="7"/>
  <c r="O89" i="7"/>
  <c r="O110" i="7" s="1"/>
  <c r="K89" i="7"/>
  <c r="H89" i="7"/>
  <c r="F89" i="7"/>
  <c r="L88" i="7"/>
  <c r="H88" i="7"/>
  <c r="F88" i="7"/>
  <c r="L87" i="7"/>
  <c r="H87" i="7"/>
  <c r="H110" i="7" s="1"/>
  <c r="K84" i="7"/>
  <c r="H84" i="7"/>
  <c r="K83" i="7"/>
  <c r="K80" i="7" s="1"/>
  <c r="F83" i="7"/>
  <c r="H83" i="7" s="1"/>
  <c r="H82" i="7"/>
  <c r="H81" i="7"/>
  <c r="O80" i="7"/>
  <c r="M80" i="7"/>
  <c r="L80" i="7"/>
  <c r="I80" i="7"/>
  <c r="G80" i="7"/>
  <c r="F80" i="7"/>
  <c r="H80" i="7" s="1"/>
  <c r="E80" i="7"/>
  <c r="L79" i="7"/>
  <c r="H79" i="7"/>
  <c r="F79" i="7"/>
  <c r="L78" i="7"/>
  <c r="H78" i="7"/>
  <c r="L77" i="7"/>
  <c r="H77" i="7"/>
  <c r="L76" i="7"/>
  <c r="H76" i="7"/>
  <c r="F75" i="7"/>
  <c r="H75" i="7" s="1"/>
  <c r="K74" i="7"/>
  <c r="H74" i="7"/>
  <c r="F74" i="7"/>
  <c r="K73" i="7"/>
  <c r="L73" i="7" s="1"/>
  <c r="M73" i="7" s="1"/>
  <c r="H73" i="7"/>
  <c r="H72" i="7"/>
  <c r="M71" i="7"/>
  <c r="L71" i="7"/>
  <c r="H71" i="7"/>
  <c r="H70" i="7"/>
  <c r="E70" i="7"/>
  <c r="E66" i="7" s="1"/>
  <c r="E85" i="7" s="1"/>
  <c r="H69" i="7"/>
  <c r="O68" i="7"/>
  <c r="M68" i="7"/>
  <c r="L68" i="7"/>
  <c r="L66" i="7" s="1"/>
  <c r="K68" i="7"/>
  <c r="H68" i="7"/>
  <c r="O67" i="7"/>
  <c r="M67" i="7"/>
  <c r="L67" i="7"/>
  <c r="K67" i="7"/>
  <c r="H67" i="7"/>
  <c r="O66" i="7"/>
  <c r="M66" i="7"/>
  <c r="I66" i="7"/>
  <c r="G66" i="7"/>
  <c r="F66" i="7"/>
  <c r="H66" i="7" s="1"/>
  <c r="O65" i="7"/>
  <c r="K65" i="7"/>
  <c r="I65" i="7"/>
  <c r="H65" i="7"/>
  <c r="O64" i="7"/>
  <c r="K64" i="7"/>
  <c r="I64" i="7"/>
  <c r="H64" i="7"/>
  <c r="H63" i="7"/>
  <c r="H62" i="7"/>
  <c r="O61" i="7"/>
  <c r="M61" i="7"/>
  <c r="L61" i="7"/>
  <c r="K61" i="7"/>
  <c r="I61" i="7"/>
  <c r="H61" i="7"/>
  <c r="G61" i="7"/>
  <c r="F61" i="7"/>
  <c r="E61" i="7"/>
  <c r="O60" i="7"/>
  <c r="O56" i="7" s="1"/>
  <c r="I60" i="7"/>
  <c r="H60" i="7"/>
  <c r="H59" i="7"/>
  <c r="H58" i="7"/>
  <c r="O57" i="7"/>
  <c r="I57" i="7"/>
  <c r="H57" i="7"/>
  <c r="M56" i="7"/>
  <c r="L56" i="7"/>
  <c r="K56" i="7"/>
  <c r="I56" i="7"/>
  <c r="G56" i="7"/>
  <c r="H56" i="7" s="1"/>
  <c r="O55" i="7"/>
  <c r="L55" i="7"/>
  <c r="H55" i="7"/>
  <c r="O54" i="7"/>
  <c r="L54" i="7"/>
  <c r="M54" i="7" s="1"/>
  <c r="K54" i="7"/>
  <c r="H54" i="7"/>
  <c r="H53" i="7"/>
  <c r="O52" i="7"/>
  <c r="L52" i="7"/>
  <c r="M52" i="7" s="1"/>
  <c r="H52" i="7"/>
  <c r="F52" i="7"/>
  <c r="K51" i="7"/>
  <c r="H51" i="7"/>
  <c r="L50" i="7"/>
  <c r="H50" i="7"/>
  <c r="K49" i="7"/>
  <c r="H49" i="7"/>
  <c r="G48" i="7"/>
  <c r="H48" i="7" s="1"/>
  <c r="K47" i="7"/>
  <c r="L47" i="7" s="1"/>
  <c r="H47" i="7"/>
  <c r="F47" i="7"/>
  <c r="L46" i="7"/>
  <c r="H46" i="7"/>
  <c r="M45" i="7"/>
  <c r="H45" i="7"/>
  <c r="M44" i="7"/>
  <c r="L44" i="7"/>
  <c r="H44" i="7"/>
  <c r="O43" i="7"/>
  <c r="O40" i="7" s="1"/>
  <c r="O85" i="7" s="1"/>
  <c r="L43" i="7"/>
  <c r="M43" i="7" s="1"/>
  <c r="K43" i="7"/>
  <c r="H43" i="7"/>
  <c r="F43" i="7"/>
  <c r="R42" i="7"/>
  <c r="Q42" i="7"/>
  <c r="M42" i="7"/>
  <c r="M40" i="7" s="1"/>
  <c r="L42" i="7"/>
  <c r="K42" i="7"/>
  <c r="H42" i="7"/>
  <c r="L41" i="7"/>
  <c r="G41" i="7"/>
  <c r="H41" i="7" s="1"/>
  <c r="H40" i="7" s="1"/>
  <c r="K40" i="7"/>
  <c r="I40" i="7"/>
  <c r="I85" i="7" s="1"/>
  <c r="F40" i="7"/>
  <c r="E40" i="7"/>
  <c r="O38" i="7"/>
  <c r="K38" i="7"/>
  <c r="I38" i="7"/>
  <c r="G38" i="7"/>
  <c r="E38" i="7"/>
  <c r="H37" i="7"/>
  <c r="M36" i="7"/>
  <c r="L36" i="7"/>
  <c r="H36" i="7"/>
  <c r="F36" i="7"/>
  <c r="L35" i="7"/>
  <c r="H35" i="7"/>
  <c r="F35" i="7"/>
  <c r="L34" i="7"/>
  <c r="M34" i="7" s="1"/>
  <c r="M38" i="7" s="1"/>
  <c r="F34" i="7"/>
  <c r="F38" i="7" s="1"/>
  <c r="O32" i="7"/>
  <c r="M32" i="7"/>
  <c r="L32" i="7"/>
  <c r="K32" i="7"/>
  <c r="I32" i="7"/>
  <c r="G32" i="7"/>
  <c r="F32" i="7"/>
  <c r="E32" i="7"/>
  <c r="H30" i="7"/>
  <c r="H32" i="7" s="1"/>
  <c r="H29" i="7"/>
  <c r="K28" i="7"/>
  <c r="H28" i="7"/>
  <c r="L26" i="7"/>
  <c r="H25" i="7"/>
  <c r="O24" i="7"/>
  <c r="K24" i="7"/>
  <c r="I24" i="7"/>
  <c r="H24" i="7"/>
  <c r="G24" i="7"/>
  <c r="F24" i="7"/>
  <c r="E24" i="7"/>
  <c r="O23" i="7"/>
  <c r="I23" i="7"/>
  <c r="G23" i="7"/>
  <c r="H23" i="7" s="1"/>
  <c r="O22" i="7"/>
  <c r="I22" i="7"/>
  <c r="H22" i="7"/>
  <c r="G22" i="7"/>
  <c r="O21" i="7"/>
  <c r="O26" i="7" s="1"/>
  <c r="I21" i="7"/>
  <c r="I26" i="7" s="1"/>
  <c r="G21" i="7"/>
  <c r="H21" i="7" s="1"/>
  <c r="H20" i="7"/>
  <c r="F20" i="7"/>
  <c r="H19" i="7"/>
  <c r="M18" i="7"/>
  <c r="M26" i="7" s="1"/>
  <c r="L18" i="7"/>
  <c r="K18" i="7"/>
  <c r="K26" i="7" s="1"/>
  <c r="H18" i="7"/>
  <c r="H26" i="7" s="1"/>
  <c r="G18" i="7"/>
  <c r="G26" i="7" s="1"/>
  <c r="F18" i="7"/>
  <c r="F26" i="7" s="1"/>
  <c r="E18" i="7"/>
  <c r="E26" i="7" s="1"/>
  <c r="K15" i="7"/>
  <c r="G15" i="7"/>
  <c r="H15" i="7" s="1"/>
  <c r="H14" i="7"/>
  <c r="H13" i="7"/>
  <c r="O12" i="7"/>
  <c r="M12" i="7"/>
  <c r="L12" i="7"/>
  <c r="K12" i="7"/>
  <c r="I12" i="7"/>
  <c r="H12" i="7"/>
  <c r="O11" i="7"/>
  <c r="O10" i="7" s="1"/>
  <c r="O16" i="7" s="1"/>
  <c r="M11" i="7"/>
  <c r="L11" i="7"/>
  <c r="L10" i="7" s="1"/>
  <c r="L16" i="7" s="1"/>
  <c r="K11" i="7"/>
  <c r="I11" i="7"/>
  <c r="I10" i="7" s="1"/>
  <c r="I16" i="7" s="1"/>
  <c r="I6" i="7" s="1"/>
  <c r="H11" i="7"/>
  <c r="F11" i="7"/>
  <c r="R10" i="7"/>
  <c r="M10" i="7"/>
  <c r="M16" i="7" s="1"/>
  <c r="K10" i="7"/>
  <c r="K16" i="7" s="1"/>
  <c r="F10" i="7"/>
  <c r="F16" i="7" s="1"/>
  <c r="E10" i="7"/>
  <c r="E16" i="7" s="1"/>
  <c r="E6" i="7" s="1"/>
  <c r="E5" i="7" s="1"/>
  <c r="R8" i="7"/>
  <c r="Q8" i="7"/>
  <c r="J6" i="7"/>
  <c r="I105" i="6"/>
  <c r="L105" i="6" s="1"/>
  <c r="I113" i="6"/>
  <c r="L113" i="6" s="1"/>
  <c r="I36" i="6"/>
  <c r="L36" i="6" s="1"/>
  <c r="I34" i="6"/>
  <c r="I50" i="6" l="1"/>
  <c r="L34" i="6"/>
  <c r="I110" i="6"/>
  <c r="L110" i="6" s="1"/>
  <c r="K117" i="6"/>
  <c r="K116" i="6" s="1"/>
  <c r="I5" i="7"/>
  <c r="G7" i="7"/>
  <c r="G161" i="7"/>
  <c r="I7" i="7"/>
  <c r="I161" i="7"/>
  <c r="M85" i="7"/>
  <c r="K110" i="7"/>
  <c r="H85" i="7"/>
  <c r="G128" i="7"/>
  <c r="K161" i="7"/>
  <c r="R181" i="7" s="1"/>
  <c r="K7" i="7"/>
  <c r="O7" i="7"/>
  <c r="O6" i="7"/>
  <c r="O5" i="7" s="1"/>
  <c r="L40" i="7"/>
  <c r="L85" i="7" s="1"/>
  <c r="R162" i="7"/>
  <c r="O161" i="7"/>
  <c r="H233" i="7"/>
  <c r="L89" i="7"/>
  <c r="M89" i="7" s="1"/>
  <c r="M110" i="7" s="1"/>
  <c r="M6" i="7" s="1"/>
  <c r="F191" i="7"/>
  <c r="K70" i="7"/>
  <c r="K66" i="7" s="1"/>
  <c r="K85" i="7" s="1"/>
  <c r="K6" i="7" s="1"/>
  <c r="G40" i="7"/>
  <c r="G85" i="7" s="1"/>
  <c r="F123" i="7"/>
  <c r="H123" i="7" s="1"/>
  <c r="H126" i="7" s="1"/>
  <c r="L38" i="7"/>
  <c r="F85" i="7"/>
  <c r="G10" i="7"/>
  <c r="H34" i="7"/>
  <c r="H38" i="7" s="1"/>
  <c r="F114" i="7"/>
  <c r="H80" i="6"/>
  <c r="L80" i="6" s="1"/>
  <c r="K5" i="7" l="1"/>
  <c r="Q6" i="7"/>
  <c r="R13" i="7"/>
  <c r="M5" i="7"/>
  <c r="F126" i="7"/>
  <c r="F6" i="7" s="1"/>
  <c r="L110" i="7"/>
  <c r="L6" i="7" s="1"/>
  <c r="G16" i="7"/>
  <c r="G6" i="7" s="1"/>
  <c r="G5" i="7" s="1"/>
  <c r="H10" i="7"/>
  <c r="H16" i="7" s="1"/>
  <c r="H6" i="7" s="1"/>
  <c r="H191" i="7"/>
  <c r="F7" i="7"/>
  <c r="F161" i="7"/>
  <c r="F5" i="7" l="1"/>
  <c r="L5" i="7"/>
  <c r="Q10" i="7"/>
  <c r="H161" i="7"/>
  <c r="H7" i="7"/>
  <c r="H5" i="7" s="1"/>
  <c r="H85" i="6"/>
  <c r="L85" i="6" s="1"/>
  <c r="H87" i="6" l="1"/>
  <c r="L87" i="6" s="1"/>
  <c r="H78" i="6" l="1"/>
  <c r="L78" i="6" s="1"/>
  <c r="L93" i="6" s="1"/>
  <c r="H93" i="6" l="1"/>
  <c r="H43" i="6"/>
  <c r="H50" i="6" l="1"/>
  <c r="L43" i="6"/>
  <c r="L50" i="6" s="1"/>
  <c r="H20" i="6"/>
  <c r="L20" i="6" s="1"/>
  <c r="H28" i="6" l="1"/>
  <c r="F14" i="6"/>
  <c r="F15" i="6"/>
  <c r="F19" i="6" s="1"/>
  <c r="F20" i="6" s="1"/>
  <c r="H125" i="6" l="1"/>
  <c r="L125" i="6" s="1"/>
  <c r="H117" i="6" l="1"/>
  <c r="H52" i="6"/>
  <c r="J52" i="6"/>
  <c r="I51" i="6"/>
  <c r="I118" i="6" s="1"/>
  <c r="J51" i="6"/>
  <c r="J118" i="6" s="1"/>
  <c r="H51" i="6"/>
  <c r="H30" i="6"/>
  <c r="I30" i="6"/>
  <c r="I119" i="6" s="1"/>
  <c r="J30" i="6"/>
  <c r="J119" i="6" s="1"/>
  <c r="I28" i="6"/>
  <c r="J28" i="6"/>
  <c r="L28" i="6" l="1"/>
  <c r="H118" i="6"/>
  <c r="L118" i="6" s="1"/>
  <c r="L51" i="6"/>
  <c r="H119" i="6"/>
  <c r="L119" i="6" s="1"/>
  <c r="L30" i="6"/>
  <c r="H116" i="6"/>
  <c r="J117" i="6"/>
  <c r="J116" i="6" s="1"/>
  <c r="I117" i="6"/>
  <c r="I116" i="6" s="1"/>
  <c r="F87" i="6" l="1"/>
  <c r="F93" i="6" l="1"/>
  <c r="F98" i="6" s="1"/>
  <c r="L98" i="6" l="1"/>
  <c r="L29" i="6"/>
  <c r="F99" i="6"/>
  <c r="F102" i="6" s="1"/>
  <c r="F103" i="6" s="1"/>
  <c r="F105" i="6" s="1"/>
  <c r="F25" i="6"/>
  <c r="F26" i="6" s="1"/>
  <c r="F27" i="6" s="1"/>
  <c r="F106" i="6" l="1"/>
  <c r="F110" i="6" s="1"/>
  <c r="F111" i="6" s="1"/>
  <c r="F107" i="6"/>
  <c r="F28" i="6"/>
  <c r="F22" i="6"/>
  <c r="F34" i="6"/>
  <c r="F36" i="6" s="1"/>
  <c r="L117" i="6" l="1"/>
  <c r="L116" i="6" s="1"/>
  <c r="F38" i="6"/>
  <c r="F40" i="6"/>
  <c r="F42" i="6" s="1"/>
  <c r="F43" i="6" s="1"/>
  <c r="F45" i="6" s="1"/>
  <c r="F47" i="6" s="1"/>
  <c r="F48" i="6" s="1"/>
  <c r="F49" i="6" s="1"/>
  <c r="F50" i="6" l="1"/>
  <c r="F54" i="6" s="1"/>
  <c r="F56" i="6" s="1"/>
  <c r="F57" i="6" s="1"/>
  <c r="F58" i="6" s="1"/>
  <c r="F59" i="6" s="1"/>
  <c r="F60" i="6" s="1"/>
  <c r="F61" i="6" s="1"/>
  <c r="F63" i="6" s="1"/>
  <c r="F64" i="6" l="1"/>
  <c r="F66" i="6" s="1"/>
  <c r="F67" i="6" s="1"/>
  <c r="F71" i="6" s="1"/>
  <c r="F62" i="6"/>
  <c r="F68" i="6" l="1"/>
  <c r="F72" i="6" s="1"/>
  <c r="F81" i="6" s="1"/>
  <c r="F82" i="6" s="1"/>
  <c r="F83" i="6" s="1"/>
  <c r="F84" i="6" s="1"/>
  <c r="F73" i="6" l="1"/>
  <c r="F74" i="6" s="1"/>
  <c r="F75" i="6" s="1"/>
  <c r="F77" i="6" s="1"/>
  <c r="F80" i="6"/>
</calcChain>
</file>

<file path=xl/comments1.xml><?xml version="1.0" encoding="utf-8"?>
<comments xmlns="http://schemas.openxmlformats.org/spreadsheetml/2006/main">
  <authors>
    <author>Автор</author>
  </authors>
  <commentList>
    <comment ref="K10" authorId="0" shapeId="0">
      <text>
        <r>
          <rPr>
            <b/>
            <sz val="9"/>
            <color indexed="81"/>
            <rFont val="Tahoma"/>
            <family val="2"/>
            <charset val="204"/>
          </rPr>
          <t>Автор:</t>
        </r>
        <r>
          <rPr>
            <sz val="9"/>
            <color indexed="81"/>
            <rFont val="Tahoma"/>
            <family val="2"/>
            <charset val="204"/>
          </rPr>
          <t xml:space="preserve">
Станом на 26.06.2024 4 варіант</t>
        </r>
      </text>
    </comment>
    <comment ref="K49" authorId="0" shapeId="0">
      <text>
        <r>
          <rPr>
            <b/>
            <sz val="9"/>
            <color indexed="81"/>
            <rFont val="Tahoma"/>
            <family val="2"/>
            <charset val="204"/>
          </rPr>
          <t>Автор:</t>
        </r>
        <r>
          <rPr>
            <sz val="9"/>
            <color indexed="81"/>
            <rFont val="Tahoma"/>
            <family val="2"/>
            <charset val="204"/>
          </rPr>
          <t xml:space="preserve">
08.07.2024 знято із СМЕ</t>
        </r>
      </text>
    </comment>
    <comment ref="K64" authorId="0" shapeId="0">
      <text>
        <r>
          <rPr>
            <b/>
            <sz val="9"/>
            <color indexed="81"/>
            <rFont val="Tahoma"/>
            <family val="2"/>
            <charset val="204"/>
          </rPr>
          <t>Автор:</t>
        </r>
        <r>
          <rPr>
            <sz val="9"/>
            <color indexed="81"/>
            <rFont val="Tahoma"/>
            <family val="2"/>
            <charset val="204"/>
          </rPr>
          <t xml:space="preserve">
09.07.2024 збільшиои електроенергію</t>
        </r>
      </text>
    </comment>
    <comment ref="K189" authorId="0" shapeId="0">
      <text>
        <r>
          <rPr>
            <b/>
            <sz val="9"/>
            <color indexed="81"/>
            <rFont val="Tahoma"/>
            <family val="2"/>
            <charset val="204"/>
          </rPr>
          <t>Автор:</t>
        </r>
        <r>
          <rPr>
            <sz val="9"/>
            <color indexed="81"/>
            <rFont val="Tahoma"/>
            <family val="2"/>
            <charset val="204"/>
          </rPr>
          <t xml:space="preserve">
09.07.2024</t>
        </r>
      </text>
    </comment>
  </commentList>
</comments>
</file>

<file path=xl/sharedStrings.xml><?xml version="1.0" encoding="utf-8"?>
<sst xmlns="http://schemas.openxmlformats.org/spreadsheetml/2006/main" count="782" uniqueCount="636">
  <si>
    <t>Перелік заходів програми </t>
  </si>
  <si>
    <t>Виконавці </t>
  </si>
  <si>
    <t xml:space="preserve">   </t>
  </si>
  <si>
    <t>Усього</t>
  </si>
  <si>
    <t xml:space="preserve">               </t>
  </si>
  <si>
    <t>Очікуваний результат </t>
  </si>
  <si>
    <t xml:space="preserve">Строк, роки </t>
  </si>
  <si>
    <t>Власні надхо-дження</t>
  </si>
  <si>
    <t>1.4. Охорона об'єктів житлового фонду</t>
  </si>
  <si>
    <t>1.2. Експертне обстеження ліфтів</t>
  </si>
  <si>
    <t>4.1. Фінансова підтримка</t>
  </si>
  <si>
    <t>№ п/п</t>
  </si>
  <si>
    <t>1.1. Капіталь-ний ремонт ліфтів</t>
  </si>
  <si>
    <t xml:space="preserve">Покращення еко-логічної ситуації в місті (санітарне очищення) </t>
  </si>
  <si>
    <t>2.3. Знесення (розбирання) об'єктів нерухомого майна</t>
  </si>
  <si>
    <t>2.5. Сплата  земельного податку</t>
  </si>
  <si>
    <t>1.5. Заміна адресних вивісок</t>
  </si>
  <si>
    <t>Орієнтовні обсяги потреби в фінансуванні (вартість),  тис. грн, у тому числі:</t>
  </si>
  <si>
    <t>Утри-мання, ремонт, рекон-струкція жит-лового фонду</t>
  </si>
  <si>
    <t xml:space="preserve">1.6. Заходи з виконання доручень виборців депутатами Дніпро-петровської обласної ради </t>
  </si>
  <si>
    <t>*</t>
  </si>
  <si>
    <t>6.4. Фінансова підтримка</t>
  </si>
  <si>
    <t>5.2. Інші  заходи, пов'язані з економічною діяльністю закладу</t>
  </si>
  <si>
    <t>3.1. Оформлен-ня права корис-тування земе-льними ділян-ками під полі-гонами звалищ сміття міста</t>
  </si>
  <si>
    <t>Комуналь-не майно</t>
  </si>
  <si>
    <t xml:space="preserve">Забезпечення умов для оздоровлення дітей та стабільної роботи Комунального закладу «Дитячий оздоровчий табір   «Перлина Криворіжжя» Криворізької міської ради </t>
  </si>
  <si>
    <t xml:space="preserve">2.10. Прид-бання техніки та обладнання, предметів довгостроко-вого користу-вання </t>
  </si>
  <si>
    <t>Бюджет Криво-різької міської територіальної громади</t>
  </si>
  <si>
    <t>3.3. Ліквідація стихійних звалищ</t>
  </si>
  <si>
    <t>3.6. Коригу-вання схеми санітарної очистки міста</t>
  </si>
  <si>
    <t>1.8. Послуги з приєднання електроуста-новок до електричних мереж</t>
  </si>
  <si>
    <t xml:space="preserve">Бюджет Криво-різької міської територіальної громади </t>
  </si>
  <si>
    <t>3.2. Розробка проєктно-кошторисної документації на рекультивацію полігону для складування твердих побутових відходів</t>
  </si>
  <si>
    <t>4.5. Реконст-рукція схеми теплопоста-чання</t>
  </si>
  <si>
    <t>4.6. Демонтаж димової труби котельні «Прорізна, 87»</t>
  </si>
  <si>
    <t>6.3. Інші  заходи, пов'язані з економічною діяльністю підприємства</t>
  </si>
  <si>
    <t>1.10. Заходи (ремонтні роботи) з усунення аварій у житловому фонді</t>
  </si>
  <si>
    <t>Покращення якості надання послуг з водо-постачання та водовідведення. Зниження тра-вматизму насе-лення, запобі-гання нещасним  випадкам. Еко-номія ресурсів</t>
  </si>
  <si>
    <t>Реалізація програм пріоритетних інвестицій для підвищення енергоефектив-ності  грома-дських будівель</t>
  </si>
  <si>
    <t>2017-2021</t>
  </si>
  <si>
    <t>2017-2019</t>
  </si>
  <si>
    <t>2021-2022</t>
  </si>
  <si>
    <t>2020-2022</t>
  </si>
  <si>
    <t>Продовження додатка 2</t>
  </si>
  <si>
    <t>Субвенція з обласного бюджету до місцевих бюджетів на фінансування переможців обласного конкурсу мікропроєктів з енергоефек- тивності та енерго-збереження серед  органів самоорганізації населення та ОСББ</t>
  </si>
  <si>
    <t xml:space="preserve"> Заходи, пов'язані з попереджен- ням і ліквіда-цією наслідків збройної агресії Російської Федерації</t>
  </si>
  <si>
    <t>4.15. Заходи, у тому числі з енергозбереже-ння, на об'єктах теплопостачан-ня комунальної власності міста Кривого Рогу в умовах збройної агресії Російської Федерації проти України</t>
  </si>
  <si>
    <t xml:space="preserve">6.5. Заходи з енергозбере-ження (вико-нання робіт з будівництва, реконструкції, капітального ремонту коте-лень та тепло-вих мереж) </t>
  </si>
  <si>
    <t>Одержувачі коштів</t>
  </si>
  <si>
    <t>Заходи для забезпечення сталого розвитку та утримання житлово-комунального господарства міста</t>
  </si>
  <si>
    <t>Департамент розвитку інф-раструктури міста виконкому Криворізької міської ради Виконком Криворізької міської ради</t>
  </si>
  <si>
    <t>Власні надходження</t>
  </si>
  <si>
    <t>Департамент розвитку інф-раструктури міста виконкому Криворізької міської ради</t>
  </si>
  <si>
    <t>1.3. Капіталь-ний, поточний ремонт, утримання та реконструкція житлового фонду</t>
  </si>
  <si>
    <t>Департамент розвитку інф-раструктури міста виконкому Криворізької міської ради, одержувачі коштів, одержувачі коштів</t>
  </si>
  <si>
    <t>2017-2026</t>
  </si>
  <si>
    <t>2022-2026</t>
  </si>
  <si>
    <t>2024 рік</t>
  </si>
  <si>
    <t>2025 рік</t>
  </si>
  <si>
    <t>2026 рік</t>
  </si>
  <si>
    <t>1.9. Створення належних умов для проживання внутрішньо-переміщених осіб у гурто-житках міста</t>
  </si>
  <si>
    <t>3.4.Придбання та ремонт кон-тейнерних систем для розміщення контейнерів для збору твердих побутових відходів</t>
  </si>
  <si>
    <t>Бюджет Криворізької міської територіальної громади</t>
  </si>
  <si>
    <t>2.9. Послуги з розробки про-ектів землеуст-рою щодо від-ведення земельних ділянок у постійне користування під об´єкти нерухомості</t>
  </si>
  <si>
    <t>Бюджет Криворізької міської  територіальної громади</t>
  </si>
  <si>
    <t>Департамент розвитку інф-раструктури міста виконкому Криворізької міської ради - головний розпорядник коштів, одержувачі коштів</t>
  </si>
  <si>
    <t xml:space="preserve">Бюджет Криворізької міської територіальної громади </t>
  </si>
  <si>
    <t>Субвенція з обласного бю-джету для здійснення заходів,   у тому числі з енерго-збереження, на об'єктах теплопоста-чання комуна-льної власності міста Кривого Рогу в умовах збройної агре-сії Російської Федерації проти України</t>
  </si>
  <si>
    <t xml:space="preserve">Департамент розвитку інф-раструктури міста виконкому Криворізької міської ради - головний роз-порядник коштів, Ко-мунальний заклад «Ди- тячий оздо-ровчий табір  «Перлина Кри-воріжжя» Криворізької міської ради - одержувач коштів </t>
  </si>
  <si>
    <t xml:space="preserve">2.2. Інвентари-зація, технічна інвентаризація, оцінка майна, технічне обстеження об’єктів нерухомого майна та  об’єктів (елементів) благоустрою з виготовленням технічного паспорта та  технічного висновку, оформлення довідок на об’єкти  нерухомго майна </t>
  </si>
  <si>
    <t>6.6. Погашення заборгованості за спожитий природний газ</t>
  </si>
  <si>
    <t>Джерела фінансування </t>
  </si>
  <si>
    <t>Забезпечення безперервної господарської діяльності підприємства</t>
  </si>
  <si>
    <t>4.2 Погашення заборгованості за теплову енергію</t>
  </si>
  <si>
    <t>4.3. Придбання теплоізо-ляційних матеріалів</t>
  </si>
  <si>
    <t>4.4. Придбання блочних автоматизова-них пальників з частотними перетворюва-чами</t>
  </si>
  <si>
    <t>4.18. Придбан-ня кришок люків</t>
  </si>
  <si>
    <t>4.19. Послуги щодо фінан-сового лізингу на придбання спецтехніки</t>
  </si>
  <si>
    <t>4.24. Придбан-ня пожежних гідрантів</t>
  </si>
  <si>
    <t>4.26. Заходи із забезпечення  міста Кривого Рогу водо-постачанням в умовах зброй-ної агресії Російської Федерації проти України</t>
  </si>
  <si>
    <t>2027 рік</t>
  </si>
  <si>
    <t>2017-2027</t>
  </si>
  <si>
    <t xml:space="preserve">Показники видатків на 2025 -2027 роки за головним розпорядником департамент розвитку інфраструктури міста </t>
  </si>
  <si>
    <t>19.06.2024</t>
  </si>
  <si>
    <t>№             п/п</t>
  </si>
  <si>
    <t>КПКВКМБ</t>
  </si>
  <si>
    <t>Найменування</t>
  </si>
  <si>
    <t xml:space="preserve">Затверджено на 2024  рік </t>
  </si>
  <si>
    <t>План на 2024  рік з урахуванням змін станом на 01.10.2024</t>
  </si>
  <si>
    <r>
      <t xml:space="preserve">Касові видатки           станом на </t>
    </r>
    <r>
      <rPr>
        <b/>
        <u/>
        <sz val="16"/>
        <color theme="1"/>
        <rFont val="Times New Roman"/>
        <family val="1"/>
        <charset val="204"/>
      </rPr>
      <t>01.09.2024</t>
    </r>
  </si>
  <si>
    <t>Залишок бюджетних призначень до кінця року</t>
  </si>
  <si>
    <t>Прогноз на 2025 на рівні планових призначень 2024 року</t>
  </si>
  <si>
    <t>Примітка</t>
  </si>
  <si>
    <t>Проект на 2025 з урахуванням індексу цін виробника 111,1 %</t>
  </si>
  <si>
    <t>Проект на 2026 з урахуванням індексу цін виробника 112,4 %</t>
  </si>
  <si>
    <t>Проект на 2027 з урахуванням індексу цін виробника 107,8 %</t>
  </si>
  <si>
    <t>Прогноз на 2025 з урахуванням реальної потреби</t>
  </si>
  <si>
    <t>Усього за галуззю, у тому числі:</t>
  </si>
  <si>
    <t>Загальний фонд усього</t>
  </si>
  <si>
    <t>спеціальний фонд усього</t>
  </si>
  <si>
    <t>Загальний фонд:</t>
  </si>
  <si>
    <t>1213242 "Інші заходи у сфері соціального захисту і соціального забезпечення"</t>
  </si>
  <si>
    <t>1.</t>
  </si>
  <si>
    <t>1.1.</t>
  </si>
  <si>
    <r>
      <t xml:space="preserve">Організація поховання одиноких громадян, осіб без певного місця проживання, осіб, від поховання яких відмовилися рідні, знайдених, невпізнаних трупів, у разі відсутності родичів. Одержувач коштів "Ритуал Сервіс Плюс"  </t>
    </r>
    <r>
      <rPr>
        <i/>
        <sz val="17"/>
        <rFont val="Times New Roman"/>
        <family val="1"/>
        <charset val="204"/>
      </rPr>
      <t/>
    </r>
  </si>
  <si>
    <r>
      <t xml:space="preserve">2022 - 431 од. ; 2023 - 381 од. ; 2024 - 440 од., 2025 - 322 од. </t>
    </r>
    <r>
      <rPr>
        <i/>
        <sz val="26"/>
        <color theme="1"/>
        <rFont val="Times New Roman"/>
        <family val="1"/>
        <charset val="204"/>
      </rPr>
      <t>Факт на 16.06.2024 - 198 тіл</t>
    </r>
  </si>
  <si>
    <t>430 од.</t>
  </si>
  <si>
    <t>оплата праці</t>
  </si>
  <si>
    <t>нарахування на оплату праці</t>
  </si>
  <si>
    <t>Предмети, матеріали, обладнання та інвентар (предмети ритальної належності)</t>
  </si>
  <si>
    <t>Продукти харчування (молоко)</t>
  </si>
  <si>
    <r>
      <t>Оплата послуг (крім комунальних) п</t>
    </r>
    <r>
      <rPr>
        <i/>
        <sz val="24"/>
        <rFont val="Times New Roman"/>
        <family val="1"/>
        <charset val="204"/>
      </rPr>
      <t xml:space="preserve">ослуга з механізованого копання та закопування могил екскаватором, послуга з перевезення трун з тілами померлих окремої категорії громадян маловантажним автотранспортним засобом  з робітниками ритуальних послуг, які здійснюють поховання померлих  </t>
    </r>
  </si>
  <si>
    <t>Всього</t>
  </si>
  <si>
    <t>1216011 "Експлуатація та технічне обслуговування житлового фонду"</t>
  </si>
  <si>
    <t>2.</t>
  </si>
  <si>
    <t>2.1.</t>
  </si>
  <si>
    <t>Заміна адресних вивісок в т.ч.</t>
  </si>
  <si>
    <t>2.1.1.</t>
  </si>
  <si>
    <t>Придбання адресних вивісок</t>
  </si>
  <si>
    <t>2210</t>
  </si>
  <si>
    <t>2.1.2.</t>
  </si>
  <si>
    <t>Встановлення адресних вивісок</t>
  </si>
  <si>
    <t>2240</t>
  </si>
  <si>
    <t>2.2</t>
  </si>
  <si>
    <r>
      <t xml:space="preserve">Поточний ремонт конструктивних елементів (укосів) об'єктів житлового фонду, пов'язаний з ліквідацією наслідків збройної агресії Російської Федерації проти України (одержувачі - ОСББ, управителі) </t>
    </r>
    <r>
      <rPr>
        <b/>
        <i/>
        <sz val="36"/>
        <color theme="1"/>
        <rFont val="Times New Roman"/>
        <family val="1"/>
        <charset val="204"/>
      </rPr>
      <t>УКОСИ</t>
    </r>
  </si>
  <si>
    <t>2.3</t>
  </si>
  <si>
    <t xml:space="preserve">Заходи (ремонтні роботи) з усунення аварій в житловому фонді (Одержувач ТОВ «Сітісервіс-КР», ТОВ "Уют") </t>
  </si>
  <si>
    <t>2.4</t>
  </si>
  <si>
    <t>Заходи (ремонтні роботи) з усунення аварій в житловому фонді, пов'язаних з  пов'язаних з ліквідацією наслідків збройної агресії  Російської Федерації проти України ЗАМІНА ВІКОН, РЕМОНТ ПОКРІВЛІ</t>
  </si>
  <si>
    <t>5</t>
  </si>
  <si>
    <t>Обстеження об’єктів житлового фонду у зв’язку з пошкодженням внаслідок позапроектних впливів</t>
  </si>
  <si>
    <t>5.1</t>
  </si>
  <si>
    <r>
      <rPr>
        <b/>
        <sz val="24"/>
        <color theme="1"/>
        <rFont val="Times New Roman"/>
        <family val="1"/>
        <charset val="204"/>
      </rPr>
      <t xml:space="preserve"> ОСББ "Астра-6"</t>
    </r>
    <r>
      <rPr>
        <sz val="24"/>
        <color theme="1"/>
        <rFont val="Times New Roman"/>
        <family val="1"/>
        <charset val="204"/>
      </rPr>
      <t xml:space="preserve"> (взрив газу по вул. 21-ї бригади Національної гвардії, буд.6. )</t>
    </r>
  </si>
  <si>
    <t>1216012 "Забезпечення діяльності з виробництва, транспортування, постачання теплової енергії"</t>
  </si>
  <si>
    <t>3.1</t>
  </si>
  <si>
    <r>
      <t xml:space="preserve"> Оплата енергоносіїв (електроенергія) </t>
    </r>
    <r>
      <rPr>
        <b/>
        <i/>
        <sz val="24"/>
        <color theme="1"/>
        <rFont val="Times New Roman"/>
        <family val="1"/>
        <charset val="204"/>
      </rPr>
      <t>(КПТМ "Криворіжтепломережа")</t>
    </r>
  </si>
  <si>
    <t>3.2</t>
  </si>
  <si>
    <r>
      <t xml:space="preserve"> Оплата водопостачання та водовідведенн </t>
    </r>
    <r>
      <rPr>
        <b/>
        <i/>
        <sz val="24"/>
        <color theme="1"/>
        <rFont val="Times New Roman"/>
        <family val="1"/>
        <charset val="204"/>
      </rPr>
      <t>(КПТМ "Криворіжтепломережа")</t>
    </r>
  </si>
  <si>
    <t>3.3</t>
  </si>
  <si>
    <r>
      <t xml:space="preserve">Погашення заборгованості за спожитий природний газ </t>
    </r>
    <r>
      <rPr>
        <b/>
        <i/>
        <sz val="24"/>
        <color theme="1"/>
        <rFont val="Times New Roman"/>
        <family val="1"/>
        <charset val="204"/>
      </rPr>
      <t>(КП «Кривбастеплоенерго» КМР)</t>
    </r>
  </si>
  <si>
    <t>3.4</t>
  </si>
  <si>
    <t>Придбання матеріалів для  виконання ремонтів теплових мереж КПТМ "Криворіжтепломережа")</t>
  </si>
  <si>
    <t>1216013 "Забезпечення діяльності водопровідно-каналізаційного господарства"</t>
  </si>
  <si>
    <t>4.</t>
  </si>
  <si>
    <t>4.1</t>
  </si>
  <si>
    <r>
      <t xml:space="preserve">Придбання пожежних гідрантів   </t>
    </r>
    <r>
      <rPr>
        <b/>
        <sz val="24"/>
        <rFont val="Times New Roman"/>
        <family val="1"/>
        <charset val="204"/>
      </rPr>
      <t>КП "Кривбасводоканал"</t>
    </r>
  </si>
  <si>
    <t>2024 р - 70 од.; 2025 - 70 од.</t>
  </si>
  <si>
    <t>2025 - 70 од.</t>
  </si>
  <si>
    <t>4.2</t>
  </si>
  <si>
    <r>
      <t xml:space="preserve">Придбання кришки люків </t>
    </r>
    <r>
      <rPr>
        <b/>
        <sz val="24"/>
        <rFont val="Times New Roman"/>
        <family val="1"/>
        <charset val="204"/>
      </rPr>
      <t xml:space="preserve"> КП "Кривбасводоканал"</t>
    </r>
  </si>
  <si>
    <t>2024 р - 308 од.; 2025 - 308 од.</t>
  </si>
  <si>
    <t>2025 - 308 од.</t>
  </si>
  <si>
    <t>4.3</t>
  </si>
  <si>
    <r>
      <t xml:space="preserve"> Оплата енергоносіїв (електроенергія)  </t>
    </r>
    <r>
      <rPr>
        <b/>
        <sz val="24"/>
        <rFont val="Times New Roman"/>
        <family val="1"/>
        <charset val="204"/>
      </rPr>
      <t>КП "Кривбасводоканал"</t>
    </r>
    <r>
      <rPr>
        <sz val="24"/>
        <rFont val="Times New Roman"/>
        <family val="1"/>
        <charset val="204"/>
      </rPr>
      <t xml:space="preserve"> </t>
    </r>
  </si>
  <si>
    <t>4.4</t>
  </si>
  <si>
    <t>Придбання насосних агрегатів</t>
  </si>
  <si>
    <t>Всього по КП "Кривбасводоканал"</t>
  </si>
  <si>
    <t>КПКВК 1216030 "Організація благоустрою населених пунктів"</t>
  </si>
  <si>
    <t>5.1.</t>
  </si>
  <si>
    <t>Вуличне освітлення та зовнішні електромережі</t>
  </si>
  <si>
    <t>5.1.1.</t>
  </si>
  <si>
    <t>Поточна електроенергія</t>
  </si>
  <si>
    <t xml:space="preserve"> 5 586 371 кВт;</t>
  </si>
  <si>
    <t xml:space="preserve">  10 100 000 кВт (за умови, що тариф на електричну енергію буде становити 9,0 грн. з ПДВ + середній тариф на розподіл -2,420652 грн. з ПДВ)</t>
  </si>
  <si>
    <t>5.1.2.</t>
  </si>
  <si>
    <t>Утримання мереж зовнішнього освітлення</t>
  </si>
  <si>
    <t>лампи - 9000 од., світильники - 6000од., кабель - 42 км</t>
  </si>
  <si>
    <t>лампи - 10000 од., світильники - 6500од., кабель - 50 км</t>
  </si>
  <si>
    <t>5.1.3.</t>
  </si>
  <si>
    <t>Поточний ремонт мереж зовнішнього освітлення</t>
  </si>
  <si>
    <t>світильники - 700од, опори - 60 од, кабель - 13км</t>
  </si>
  <si>
    <t>світильники - 900од, опори - 70 од, кабель - 16км</t>
  </si>
  <si>
    <t>5.1.4.</t>
  </si>
  <si>
    <t>Ремонт засобів обліку електричної енергії</t>
  </si>
  <si>
    <t>5.1.5.</t>
  </si>
  <si>
    <t>Повірка, технічна перевірка засобів обліку електричної енергії</t>
  </si>
  <si>
    <t>5.1.6.</t>
  </si>
  <si>
    <t xml:space="preserve">Послуги з прийому, перевезення та подальшої утилізації небезпечних відходів (відпрацьовані лампи, що містять ртутне наповнення) </t>
  </si>
  <si>
    <t>5.1.7.</t>
  </si>
  <si>
    <t>Придбання засобів обліку електричної енергії</t>
  </si>
  <si>
    <t>5.2</t>
  </si>
  <si>
    <r>
      <t>Водопостачання</t>
    </r>
    <r>
      <rPr>
        <b/>
        <sz val="24"/>
        <color rgb="FFFF0000"/>
        <rFont val="Times New Roman"/>
        <family val="1"/>
        <charset val="204"/>
      </rPr>
      <t xml:space="preserve"> та водовідведення</t>
    </r>
    <r>
      <rPr>
        <b/>
        <sz val="24"/>
        <rFont val="Times New Roman"/>
        <family val="1"/>
        <charset val="204"/>
      </rPr>
      <t xml:space="preserve"> на кладовищах міста</t>
    </r>
  </si>
  <si>
    <t>Зменшення обсягів з 13 487,22 м3  до  7 320 м3 (планується підвищення тарифу з 15,972 грн до 29,424 грн)</t>
  </si>
  <si>
    <t>18 кладовищ                                                                         (2022 рік: план - 11988,6 м3, факт - 11531 м3;    2023 рік: план - 16184,6 м3, факт - 9684 м3; 2024 рік: план - 13487,22 м3)</t>
  </si>
  <si>
    <t>5.3</t>
  </si>
  <si>
    <t>Енергозабезпечення об'єктів (елементів) благоустрою (МАФ «В’їзний знак «Кривий Ріг» на в’їзді в місто з боку міста Кіровоград»)</t>
  </si>
  <si>
    <t>5.4</t>
  </si>
  <si>
    <t>Поточний ремонт інших об'єктів (елементів) благоустрою</t>
  </si>
  <si>
    <t>поточний ремонт сонячного дерева, вїзного знаку, памятників, біотуалетів, лав</t>
  </si>
  <si>
    <t>5.5</t>
  </si>
  <si>
    <t>Утримання об'єктів (елементів) благоустрою (біотуалетів)</t>
  </si>
  <si>
    <t>86 раз (70 біотуалетів) кожні пять днів</t>
  </si>
  <si>
    <t>92 рази (70 біотуалетів) кожні чотири  дні</t>
  </si>
  <si>
    <t>5.6</t>
  </si>
  <si>
    <t>Утримання кладовищ</t>
  </si>
  <si>
    <t xml:space="preserve">                            37 од.                                       (зменшення обємів:                                                                  -  перенесення сміття з ділянок поховань - на 800 м3 (2024 рік - 5300 м3);                                                                             - прибирання 81 вбиральні - на 2 рази (2024 рік - 29 разів);                                                                         - очищення 50 контейнерів - на 12 раз (2024 рік - 120 раз);                                                                             - очищення братських могил - на 2 рази (2024 рік - 14 разів);                                                                          - знесення дерев - на 170 шт (2024 рік  - 1120 шт);                                                                             - видалення порослі - на 8 700 шт. (2024 рік - 43 500 шт)                                                                             - очищення від снігу та посипання протиожеледними матеріалами (2024 рік - 3000 м2).</t>
  </si>
  <si>
    <r>
      <t xml:space="preserve">37 од.                                                                                      </t>
    </r>
    <r>
      <rPr>
        <sz val="26"/>
        <rFont val="Times New Roman"/>
        <family val="1"/>
        <charset val="204"/>
      </rPr>
      <t>(вивезення міття - 28000 м3)</t>
    </r>
  </si>
  <si>
    <t>5.7</t>
  </si>
  <si>
    <t>Охорона кладовищ</t>
  </si>
  <si>
    <t>13 од.                                               (зменшення годин охорони у сявткові дні на 3 год,  у робочі дні  та суботу - на 2 год.,           у неділю - на 1 год.)</t>
  </si>
  <si>
    <r>
      <t xml:space="preserve">13 од.                                                                        </t>
    </r>
    <r>
      <rPr>
        <sz val="26"/>
        <rFont val="Times New Roman"/>
        <family val="1"/>
        <charset val="204"/>
      </rPr>
      <t>(режим роботи охорони: будні з 16.00-09.00; субота з 14.00-09.00, неділя - 09.00-09.00; по 2 охоронці на 11 кладовищах, Західне - 3 охор., Центральне - 5 охор.)</t>
    </r>
  </si>
  <si>
    <t>5.8</t>
  </si>
  <si>
    <t>Поточний ремонт контейнерних систем для розміщення контейнерів для збору твердих побутових відходів</t>
  </si>
  <si>
    <t xml:space="preserve"> 2024 р. -100 од. 2025 - 90 од.</t>
  </si>
  <si>
    <t>100 од.</t>
  </si>
  <si>
    <t>5.9</t>
  </si>
  <si>
    <t>Електроенергія на утримання ДНС (ДРІМ - головний розпорядник)</t>
  </si>
  <si>
    <t>збільшено на 8%</t>
  </si>
  <si>
    <t>5.10</t>
  </si>
  <si>
    <t>Заходи, пов'язані з утриманням об'єктів (елементів) благоустрою КП "Кривбасводоканал" (утримання ДНС, поточний ремонт ДНС)</t>
  </si>
  <si>
    <t>Оплата комунальних послуг та енергоносіїв</t>
  </si>
  <si>
    <t>інші видатки</t>
  </si>
  <si>
    <t>5.11</t>
  </si>
  <si>
    <t>Заходи у сфері благоустрою (КП "Парк культури і відпочинку ім. Б.Хмельницького" КМР)</t>
  </si>
  <si>
    <r>
      <t xml:space="preserve">Збільшення заробітної плати з нарахуванням згідно норм  прожиткового мінімуму для працездатних осіб та застосування коефіцієнта згідно з галузевою угодою на 2023-2027 роки *не менше 200 % (було 180%) . Енергоносії на рівні видатків 2024 року, згідно листа МФУ. При цьому </t>
    </r>
    <r>
      <rPr>
        <b/>
        <sz val="26"/>
        <rFont val="Times New Roman"/>
        <family val="1"/>
        <charset val="204"/>
      </rPr>
      <t>зменшено</t>
    </r>
    <r>
      <rPr>
        <sz val="26"/>
        <rFont val="Times New Roman"/>
        <family val="1"/>
        <charset val="204"/>
      </rPr>
      <t xml:space="preserve"> </t>
    </r>
    <r>
      <rPr>
        <b/>
        <sz val="26"/>
        <rFont val="Times New Roman"/>
        <family val="1"/>
        <charset val="204"/>
      </rPr>
      <t>видатки</t>
    </r>
    <r>
      <rPr>
        <sz val="26"/>
        <rFont val="Times New Roman"/>
        <family val="1"/>
        <charset val="204"/>
      </rPr>
      <t xml:space="preserve"> на утримання об"єктів (елементів) благоустрою у сумі </t>
    </r>
    <r>
      <rPr>
        <b/>
        <sz val="26"/>
        <rFont val="Times New Roman"/>
        <family val="1"/>
        <charset val="204"/>
      </rPr>
      <t>6,52 млн.грн. (було 10,0 млн.грн.)</t>
    </r>
  </si>
  <si>
    <t>Збільшення заробітної плати з нарахуванням згідно норм прожиткового мінімуму для працездатних осіб та застосування коефіцієнта згідно з галузевою угодою на 2023-2027 роки *не менше 200 % (було 180%) . А також збільшено штатну чисельність на 6 од. (із них 5 озеленювачів, 1 майстер) Енергоносії збільшено до потреби у зв"язку з передачею на баланс обєктів (елементів) благоустрою. Відповідно до потреби видатки на утримання об"єктів (елементів) благоустрою у сумі 10,0 млн.грн.</t>
  </si>
  <si>
    <t>5.12</t>
  </si>
  <si>
    <t>Заходи у сфері благоустрою (КП "Сансервіс" КМР)</t>
  </si>
  <si>
    <t>Збільшення заробітної плати з нарахуванням згідно норм  прожиткового мінімуму для працездатних осіб та застосування коефіцієнта згідно з галузевою угодою на 2023-2027 роки *не менше 200 % (було 180%) . Енергоносії на рівні видатків 2024 року, згідно листа МФУ.</t>
  </si>
  <si>
    <r>
      <t>Збільшення заробітної плати з нарахуванням згідно норм  прожиткового мінімуму для працездатних осіб та застосування коефіцієнта згідно з галузевою угодою на 2023-2027 роки *не менше 200 % (було 180%) . Енергоносії (е/е, вода) збільшено у зв"язку з відновленням роботи фонтану.Збільшення видатків на придбання лавок , урн, контейнерів для сміття. Придбання матеріалів для виконання ремонтно будівельних робіт на територіях дільниць озеленення в районах міста.</t>
    </r>
    <r>
      <rPr>
        <b/>
        <sz val="26"/>
        <rFont val="Times New Roman"/>
        <family val="1"/>
        <charset val="204"/>
      </rPr>
      <t xml:space="preserve"> Послуги з поточного ремонту адмін будівель КП "Сансервіс" 4,3 млн.грн.</t>
    </r>
    <r>
      <rPr>
        <sz val="26"/>
        <rFont val="Times New Roman"/>
        <family val="1"/>
        <charset val="204"/>
      </rPr>
      <t xml:space="preserve"> Проведення інвентаризація та паспортизиції об"єктів благоустрою. Придбання спецодягу.  </t>
    </r>
  </si>
  <si>
    <t>оплата комунальних послуг та енергоносіїв</t>
  </si>
  <si>
    <t>5.13</t>
  </si>
  <si>
    <t>Поточний ремонт вулиць і доріг комунальної власності міста</t>
  </si>
  <si>
    <t>5.14</t>
  </si>
  <si>
    <t>Утримання автошляхів міста</t>
  </si>
  <si>
    <t>5.15</t>
  </si>
  <si>
    <t>Утримання світлофорних об'єктів</t>
  </si>
  <si>
    <t>5.16</t>
  </si>
  <si>
    <t>Поточний ремонт світлофорних об'єктів</t>
  </si>
  <si>
    <t>5.17</t>
  </si>
  <si>
    <t>Поточний ремонт мостів та шляхопроводів (ДРІМ)</t>
  </si>
  <si>
    <t>5.18</t>
  </si>
  <si>
    <t xml:space="preserve">Проведення технічної перевірки засобів обліку електричної енергії на світлофорних об’єктах </t>
  </si>
  <si>
    <t>5.19</t>
  </si>
  <si>
    <t>Приєднанння до електричних мереж світлофорних об'єктів</t>
  </si>
  <si>
    <t>5.20</t>
  </si>
  <si>
    <t xml:space="preserve">Послуги з експертного обстеження стану конструкцій мостів та шляхопроводів </t>
  </si>
  <si>
    <t>5.21</t>
  </si>
  <si>
    <t xml:space="preserve">Послуги з технічного нагляду за поточним ремонтом мостів та шляхопроводів </t>
  </si>
  <si>
    <t>5.22</t>
  </si>
  <si>
    <t>Придбання, установлення, утримання, ремонт об'єктів (елементів) вулично-дорожньої мережі (КП "Парковка та реклама" КМР)</t>
  </si>
  <si>
    <t>5.22.1</t>
  </si>
  <si>
    <t>5.22.2</t>
  </si>
  <si>
    <t>5.22.3</t>
  </si>
  <si>
    <t>5.23</t>
  </si>
  <si>
    <t>Придбання прапорів для будівництва меморіапльного комплексу в секторі почесних поховань</t>
  </si>
  <si>
    <t>1216090 "Інша діяльність у сфері житлово-комунального господарства"</t>
  </si>
  <si>
    <t>6.</t>
  </si>
  <si>
    <t>6.1</t>
  </si>
  <si>
    <t>Оформлення висновку спеціалізованої організації про можливість (неможливість) подальшої експлуатації основних засобів, інших необоротних матеріальних активів</t>
  </si>
  <si>
    <t>6.2</t>
  </si>
  <si>
    <t>Витрати, пов'язані із поштовими послугами</t>
  </si>
  <si>
    <t>6.3</t>
  </si>
  <si>
    <t>Висвітлення діяльності департаменту розвитку інфраструктури міста виконкому Криворізької міської ради в засобах масової інформації</t>
  </si>
  <si>
    <t>6.4</t>
  </si>
  <si>
    <t>Витрати, пов'язані із юридичними послугами</t>
  </si>
  <si>
    <t>6.5</t>
  </si>
  <si>
    <t>Проведення експертиз</t>
  </si>
  <si>
    <t>6.6</t>
  </si>
  <si>
    <t>Еспертне обстеження, техніко-економічне обгрунтування (бомбосховища)</t>
  </si>
  <si>
    <t>6.7</t>
  </si>
  <si>
    <t>Послуги з доставки до Криворізького міжрайонного відділу комунального закладу "Дніпропетровське обласне бюро судово-медичної експертизи "Дніпропетровської обласної ради" тіл одиноких громадян, осіб без певного місця проживання, осіб, від поховання яких відмовилися рідні, знайдених, невпізнаних трупів, у разі відсутності родичів або осіб чи установ, які можуть взяти на себе доставку тіл</t>
  </si>
  <si>
    <t>2022 рік - 2082 тіл; 2023 - 2048 тіл, 2024 - 2360; 2025- 2200 тіл. Факт за 5 міс. 835 од.</t>
  </si>
  <si>
    <t>2 360 тіл</t>
  </si>
  <si>
    <t>6.8</t>
  </si>
  <si>
    <t>Оцінка майна</t>
  </si>
  <si>
    <t>6.9</t>
  </si>
  <si>
    <t xml:space="preserve">Видатки, пов’язані із судовими процесами, оголошеннями за судовими справами </t>
  </si>
  <si>
    <t>6.10</t>
  </si>
  <si>
    <t xml:space="preserve">Відшкодування коштів за рішенням суду </t>
  </si>
  <si>
    <t>6.11</t>
  </si>
  <si>
    <t>Сплата земельного податку</t>
  </si>
  <si>
    <t>6.12</t>
  </si>
  <si>
    <t xml:space="preserve">Утримання модульних туалетів  (КП "Сансервіс КМР") </t>
  </si>
  <si>
    <r>
      <t xml:space="preserve">2024 - 12 од.; 2025 - 13 од. </t>
    </r>
    <r>
      <rPr>
        <b/>
        <sz val="26"/>
        <rFont val="Times New Roman"/>
        <family val="1"/>
        <charset val="204"/>
      </rPr>
      <t>Якщо видатки залишити на рівні 2024 року, то потреба навіть більша і тільки на з/п вистачить</t>
    </r>
  </si>
  <si>
    <t>6.12.1</t>
  </si>
  <si>
    <t>6.12.2</t>
  </si>
  <si>
    <t>6.12.3</t>
  </si>
  <si>
    <t>6.13</t>
  </si>
  <si>
    <t>Заходи поводження з безпритульними тваринами                                                                     (КП "Центр поводження з  тваринами" КМР)</t>
  </si>
  <si>
    <t>2022 - 2728 тварин; 2023 - 3971 тварин; 2024 - 3500 тварин, 2025 - 3500 тварин</t>
  </si>
  <si>
    <t>3 500 тварин</t>
  </si>
  <si>
    <t>6.13.1</t>
  </si>
  <si>
    <t xml:space="preserve">Збільшення заробітної плати з нарахуванням згідно норм  прожиткового мінімуму для працездатних осіб та застосування коефіцієнта згідно з галузевою угодою на 2023-2027 роки *не менше 200 % (було 180%). Збільшення показників споживанням електричної енергії у 2025 році, зумовлене завершенням поточного ремонту будівлі та облаштуванням місця прийому тварин, запуском додаткових 10 вольєрів, встановлення засобів підігріву води, освітлення, та котла для обігріву. Зменшення видатків на медикаменти, матеріали у зв’язку із зменшенням кількості вольєрів, які планується побудувати у порівнянні з 2024 роком. Зменшення витрат на оренду авто для відлову тварин </t>
  </si>
  <si>
    <t xml:space="preserve">Збільшення заробітної плати. Збільшення споживанням електричної енергії зумовлене завершенням поточного ремонту будівлі та облаштуванням місця прийому тварин, запуском додаткових 10 вольєрів, встановлення засобів підігріву води, освітлення, та котла для обігріву. Збільшення видатків на медикаменти, витрат на оренду авто для відлову тварин. </t>
  </si>
  <si>
    <t>6.13.2</t>
  </si>
  <si>
    <t>6.13.3</t>
  </si>
  <si>
    <t>медикаменти та перев'язувальні матеріали</t>
  </si>
  <si>
    <t>6.13.4</t>
  </si>
  <si>
    <t>6.13.5</t>
  </si>
  <si>
    <t>6.14</t>
  </si>
  <si>
    <t>Ексгумація трупів</t>
  </si>
  <si>
    <t>6.15</t>
  </si>
  <si>
    <t>Розробка проєкту землеустрою щодо відведення земельної ділянки у постійне користування під об'єкти нерухомості</t>
  </si>
  <si>
    <t>1217640 "Заходи з енергозбереження"</t>
  </si>
  <si>
    <t>7</t>
  </si>
  <si>
    <t>7.1</t>
  </si>
  <si>
    <t>Розроблення схеми телопостачання міста</t>
  </si>
  <si>
    <t>7.2</t>
  </si>
  <si>
    <t>Заходи з енергозбереження: поточний ремонт конструктивних елементів у житлових будинках</t>
  </si>
  <si>
    <t>2240,2610</t>
  </si>
  <si>
    <t>1217693 "Інші заходи, пов'язані з економічною діяльністю"</t>
  </si>
  <si>
    <t>8</t>
  </si>
  <si>
    <t>8.1</t>
  </si>
  <si>
    <t>Фінансове забезпечення КП «Кривбастеплоенерго» КМР</t>
  </si>
  <si>
    <t>8.1.1</t>
  </si>
  <si>
    <t>8.1.2</t>
  </si>
  <si>
    <t>8.1.3</t>
  </si>
  <si>
    <t>8.1.4</t>
  </si>
  <si>
    <t>Витрати повязані з валютообмінними операціями</t>
  </si>
  <si>
    <t>8.2</t>
  </si>
  <si>
    <t>Витрати, пов'язані з оплатою послуг юридичних, аудиту, процесуального агента, тощо</t>
  </si>
  <si>
    <t>8.2.1</t>
  </si>
  <si>
    <t>Послуги зовнішніх аудиторів</t>
  </si>
  <si>
    <t>8.3</t>
  </si>
  <si>
    <t>Витрати, що здійснюються під час реалізації інвестиційного проекту "Підвищення енергоефективності громадських будівель у м. Кривому Розі", який підтримується міжнародною фінансовою організацією ЄБРР (погашення основної суми кредиту, процентів, комісій тощо) КП "Кривбастеплоенерго" КМР</t>
  </si>
  <si>
    <t>8.3.1</t>
  </si>
  <si>
    <t>сплата тіла кредиту та відсотків за користування кредитними коштами, комісія за резервування 0,5%</t>
  </si>
  <si>
    <t>8.3.2</t>
  </si>
  <si>
    <t>резервування валюти на валютному рахунку</t>
  </si>
  <si>
    <t>1219770 "Інші субвенції з місцевого бюджету"</t>
  </si>
  <si>
    <t>12.</t>
  </si>
  <si>
    <t>11.1.</t>
  </si>
  <si>
    <t xml:space="preserve">«Громадський бюджет 2022» </t>
  </si>
  <si>
    <t>11.1.1.</t>
  </si>
  <si>
    <t>По Саксаганському району:</t>
  </si>
  <si>
    <t>11.1.2.</t>
  </si>
  <si>
    <t>Простір родинного комфорту (вул.Володимира Великого, 32)</t>
  </si>
  <si>
    <t>11.1.3.</t>
  </si>
  <si>
    <t>Улюблений Саксаганський: сквер з широким серцем</t>
  </si>
  <si>
    <t>11.1.4.</t>
  </si>
  <si>
    <t>«Спорт для людей літнього віку. Час-дій»</t>
  </si>
  <si>
    <t>11.1.5.</t>
  </si>
  <si>
    <t>Відеоспостереження в сквері "Співдружності"</t>
  </si>
  <si>
    <t>11.2.1.</t>
  </si>
  <si>
    <t>По Металургійному району:</t>
  </si>
  <si>
    <t>11.2.2.</t>
  </si>
  <si>
    <t>"Не хочу бути тюхтієм!"</t>
  </si>
  <si>
    <t>11.2.3.</t>
  </si>
  <si>
    <t>"Безпечний сквер"</t>
  </si>
  <si>
    <t>11.2.4.</t>
  </si>
  <si>
    <t>"У здоровому тілі – здоровий дух!"</t>
  </si>
  <si>
    <t>11.3.1.</t>
  </si>
  <si>
    <t>По Довгинцівському району:</t>
  </si>
  <si>
    <t>11.3.2.</t>
  </si>
  <si>
    <t>«Тим, хто врятував світ» пам’ятник ліквідаторам аварії на ЧАЕС у Довгинцівському районі</t>
  </si>
  <si>
    <t>11.3.3.</t>
  </si>
  <si>
    <t>Дитячий спортивно-ігровий комплекс «Druzhba» у Довгинцівському районі</t>
  </si>
  <si>
    <t>11.3.4.</t>
  </si>
  <si>
    <t>«Комфортні хвилини»</t>
  </si>
  <si>
    <t>11.3.5.</t>
  </si>
  <si>
    <t>"Гра на рівних"</t>
  </si>
  <si>
    <t>11.4.1.</t>
  </si>
  <si>
    <t>По Інгулецькому району:</t>
  </si>
  <si>
    <t>11.4.2.</t>
  </si>
  <si>
    <t>"Павляндія" Дитячо-спортивний майданчик</t>
  </si>
  <si>
    <t>11.4.3.</t>
  </si>
  <si>
    <t>"Пильне око"- система відеоспостереження</t>
  </si>
  <si>
    <t>11.5.1.</t>
  </si>
  <si>
    <t>По Тернівському району:</t>
  </si>
  <si>
    <t>11.5.2.</t>
  </si>
  <si>
    <t>"17 квартал" - Я та сім'я (облаштування зони відпочинку по вул. Сергія Колачевського)</t>
  </si>
  <si>
    <t>11.5.3.</t>
  </si>
  <si>
    <t>Відновлення волейбольного майданчику</t>
  </si>
  <si>
    <t>11.5.4.</t>
  </si>
  <si>
    <t>17 квартал-територія безпеки (відеоспостереження громадського простору по вул. С.Колачевського, 105)</t>
  </si>
  <si>
    <t>1218240 "Заходи та роботи з територіальної оборони"</t>
  </si>
  <si>
    <t>9</t>
  </si>
  <si>
    <t>9.1</t>
  </si>
  <si>
    <t>Утримання елементів благоустрою (біотуалетів)</t>
  </si>
  <si>
    <t>182 рази (16 біотуалетів) один раз на два дні</t>
  </si>
  <si>
    <t>Зменшилась кількість туалетів з 18 од. до 16 од. у звязку зпошкодженням</t>
  </si>
  <si>
    <t>1217520 "Реалізація Національної програми інформатизації "</t>
  </si>
  <si>
    <t>10</t>
  </si>
  <si>
    <t>10.1</t>
  </si>
  <si>
    <r>
      <t>Фінансування послуг мережі Інтернет, програмного забезпечення та інформаційних систем</t>
    </r>
    <r>
      <rPr>
        <b/>
        <sz val="24"/>
        <rFont val="Times New Roman"/>
        <family val="1"/>
        <charset val="204"/>
      </rPr>
      <t>(КП "Парк культури і відпочинку ім. Б. Хмельницького" КМР)</t>
    </r>
  </si>
  <si>
    <t>10.2</t>
  </si>
  <si>
    <r>
      <t xml:space="preserve">Фінансування послуг мережі Інтернет, програмного забезпечення та інформаційних систем   </t>
    </r>
    <r>
      <rPr>
        <b/>
        <sz val="24"/>
        <rFont val="Times New Roman"/>
        <family val="1"/>
        <charset val="204"/>
      </rPr>
      <t>(КП "Сансервіс" КМР)</t>
    </r>
  </si>
  <si>
    <t>10.3</t>
  </si>
  <si>
    <r>
      <t xml:space="preserve"> КП «Кривбастеплоенерго» КМР</t>
    </r>
    <r>
      <rPr>
        <i/>
        <sz val="24"/>
        <rFont val="Times New Roman"/>
        <family val="1"/>
        <charset val="204"/>
      </rPr>
      <t xml:space="preserve"> програмного забезпечення </t>
    </r>
  </si>
  <si>
    <t>1218110"Заходи із запобігання та ліквідації надзвичайних ситуацій та наслідків стихійного лиха"</t>
  </si>
  <si>
    <t>11.1</t>
  </si>
  <si>
    <t xml:space="preserve">Заходи з ліквідації наслідків надзвичайних ситуацій, пов'язаних з ліквідацією наслідків збройної агресії  Російської Федерації проти України  КП «Сансервіс»КМР </t>
  </si>
  <si>
    <t>Спеціальний фонд усього</t>
  </si>
  <si>
    <t>у тому числі:</t>
  </si>
  <si>
    <t>Підтримка ОСББ (виконання капітального ремонту) ДРІМ - головний розпорядник</t>
  </si>
  <si>
    <t>1.1.2.</t>
  </si>
  <si>
    <t>Теплий під'їзд (капітальний ремонт із заміни вікон у місцях загального користування)</t>
  </si>
  <si>
    <t>1.1.3.</t>
  </si>
  <si>
    <t>За поданими зверненнями:ОСББ «Клен-2»</t>
  </si>
  <si>
    <t>1.2.</t>
  </si>
  <si>
    <t>Капітальний ремонт житлового фонду</t>
  </si>
  <si>
    <t>1.2.1.</t>
  </si>
  <si>
    <t>«Капітальний ремонт споруди гуртожитку за адресою на вул. Панаса Мирного, 16, м. Кривий Ріг»</t>
  </si>
  <si>
    <t>1.2.2.</t>
  </si>
  <si>
    <t>Капітальний ремонт фасадів житлових будинків (пр. Металургів, О. Поля, Старовокзальна)</t>
  </si>
  <si>
    <t>1216012 "Забезпечення діяльності з виробництва, транспортування, погстачання теплової енергії"</t>
  </si>
  <si>
    <t>Придбання матеріалів, обладнання (устаткування) для виконання робіт з будівництва, реконструкції,капітального та поточного ремонту котелень та теплових мереж "КПТМ "Криворіжтепломережа"</t>
  </si>
  <si>
    <t>Капітальний ремонт мереж водопостачання та водовідведення (КП "Кривбасводоканал" )</t>
  </si>
  <si>
    <t>2.2.</t>
  </si>
  <si>
    <t>Придбання матеріалів, обладнання (устаткування) для виконання капітальних ремонтів водопровідних та каналізаційних мереж і споруд водопостачання та водовідведення (КП "Кривбасводоканал")</t>
  </si>
  <si>
    <t>1216015 "Забезпечення надійної та безперебійної експлуатації ліфтів"</t>
  </si>
  <si>
    <t>3.</t>
  </si>
  <si>
    <t>3.1.</t>
  </si>
  <si>
    <t>Капітальний ремонт ліфтів</t>
  </si>
  <si>
    <t>1.1</t>
  </si>
  <si>
    <r>
      <t xml:space="preserve">Придбання матеріалів для виконання капітального ремонту мереж водопостачання та водовідведення на вул. Кропивницького 2024 рік </t>
    </r>
    <r>
      <rPr>
        <b/>
        <i/>
        <sz val="24"/>
        <rFont val="Times New Roman"/>
        <family val="1"/>
        <charset val="204"/>
      </rPr>
      <t xml:space="preserve">(КП "Кривбасводоканал")   </t>
    </r>
  </si>
  <si>
    <t>2</t>
  </si>
  <si>
    <t>2.1</t>
  </si>
  <si>
    <t>Капітальний ремонт ліфтів у багатоквартирних будинках</t>
  </si>
  <si>
    <t>3</t>
  </si>
  <si>
    <t>Придбання контейнерних систем для розміщення контейнерів для збору твердих побутових відходів</t>
  </si>
  <si>
    <t>2024-130 од.,2025-110 од.</t>
  </si>
  <si>
    <t>130 од.</t>
  </si>
  <si>
    <r>
      <t xml:space="preserve">Заходи у сфері благоустрою </t>
    </r>
    <r>
      <rPr>
        <b/>
        <i/>
        <sz val="24"/>
        <rFont val="Times New Roman"/>
        <family val="1"/>
        <charset val="204"/>
      </rPr>
      <t>КП "Сансервіс" КМР</t>
    </r>
  </si>
  <si>
    <t xml:space="preserve">Придбання мобільних туалетних кабін (біотуалетів)   </t>
  </si>
  <si>
    <t>2 од.</t>
  </si>
  <si>
    <t>Придбання та встановлення джерел резервного живлення для світлофорних об'єктів</t>
  </si>
  <si>
    <t>КПКВК 1216091 "Будівництво об'єктів житлово-комунального господарства"</t>
  </si>
  <si>
    <t xml:space="preserve">Реконструкція Меморіального бульвару </t>
  </si>
  <si>
    <t>«Нове будівництво Меморіального комплексу в секторі почесних поховань на частині земельної ділянки призначеної для розширення кладовища «Центральне» ІІ черга: Дніпропетровська область, Криворізький район, Новопільська сільська рада</t>
  </si>
  <si>
    <t xml:space="preserve">1216092  «Реалізація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       </t>
  </si>
  <si>
    <r>
      <t xml:space="preserve">Заходи, пов'язані з попередженням і ліквідацією наслідків збройної агресії Російської Федерації </t>
    </r>
    <r>
      <rPr>
        <b/>
        <sz val="24"/>
        <rFont val="Times New Roman"/>
        <family val="1"/>
        <charset val="204"/>
      </rPr>
      <t xml:space="preserve">ТОВ "Дивобуд",
</t>
    </r>
    <r>
      <rPr>
        <sz val="24"/>
        <rFont val="Times New Roman"/>
        <family val="1"/>
        <charset val="204"/>
      </rPr>
      <t>вул. Каунаська, 3; 
вул. Комерційна, 3; 
вул. Свято-Миколаївська, 53, 57, 62, 56а</t>
    </r>
    <r>
      <rPr>
        <b/>
        <sz val="24"/>
        <rFont val="Times New Roman"/>
        <family val="1"/>
        <charset val="204"/>
      </rPr>
      <t xml:space="preserve">
  </t>
    </r>
  </si>
  <si>
    <t>Розробка ПКД по об'єкту "Капітальний ремонт пошкодженого житлового будинку по вул.Віталія Власова,5"</t>
  </si>
  <si>
    <t>Розробка ПКД на капітальний ремонт покрівель будинків за наступними адресами: м. Кривий Ріг: вул. Героїв-підпільників буд. 30, вул. Героїв-підпільників буд. 32, вул. Героїв-підпільників буд. 34 (ТОВ "ЖИТЛОСЕРВІС-КР")</t>
  </si>
  <si>
    <t xml:space="preserve"> "Капітальний ремонт пошкодженого житлового будинку по вул.Віталія Власова,5"</t>
  </si>
  <si>
    <t>Проведення капітального ремонту конструктивних елементів житлового будинку вт.ч. ПКД за адресою:м.Кривий Ріг,вул.Соборності,22 (ОСББ "Соборності 22")</t>
  </si>
  <si>
    <t>Проведення капітального ремонту конструктивних елементів житлових будинків в т.ч. ПКД за адресами: вул. Гетьманська  буд. 82 (ТОВ "Житлосервіс-КР")</t>
  </si>
  <si>
    <t>Розроблення  ПКД для подальшого проведення капітального ремонту житлового будинку за адресою:вул.Миколи Ткачова,12</t>
  </si>
  <si>
    <t>6.1.</t>
  </si>
  <si>
    <r>
      <t>Витрати, пов'язані із забезпечення реалізації КП "Кривбастеплоенерго" КМР інвестиційного проекту</t>
    </r>
    <r>
      <rPr>
        <sz val="24"/>
        <color theme="1"/>
        <rFont val="Times New Roman"/>
        <family val="1"/>
        <charset val="204"/>
      </rPr>
      <t xml:space="preserve"> "Підвищення енергоефективності громадських будівель у м.Кривому Розі", за укладеним кредитним договором</t>
    </r>
    <r>
      <rPr>
        <i/>
        <sz val="24"/>
        <color theme="1"/>
        <rFont val="Times New Roman"/>
        <family val="1"/>
        <charset val="204"/>
      </rPr>
      <t xml:space="preserve"> (співфінансування)</t>
    </r>
  </si>
  <si>
    <t>6.2.</t>
  </si>
  <si>
    <t>Фінансове забезпечення КПТМ "Криворіжтепломережа"  для здійснення заходів з енергозбереження: капітальний ремонт теплових мереж, в т.ч. супровідні роботи (субвенція) в т.ч</t>
  </si>
  <si>
    <t>6.2.1</t>
  </si>
  <si>
    <t>Заходи з енергозбереження.Капітальний ремонт теплових мереж від котельні "КМК" на ділянці ТК-422 по вул. Нахімова до ТК-444 по вул.Трамвайна в Металургійному районі, м.Кривий Ріг,Дніпропетровська область в т.ч. технічний нагляд,авторський нагляд</t>
  </si>
  <si>
    <t>6.2.2</t>
  </si>
  <si>
    <t>Заходи з енергозбереження. Капітальний ремонт теплових мереж  від котельні "КМК" на дільниці ТК-324 - ТК-324/8 в Металургійному районі, м. Кривий Ріг, Дніпропетровська область в т.ч. технічний нагляд, авторський нагляд</t>
  </si>
  <si>
    <r>
      <t xml:space="preserve">Фінансове забезпечення </t>
    </r>
    <r>
      <rPr>
        <b/>
        <sz val="24"/>
        <color theme="1"/>
        <rFont val="Times New Roman"/>
        <family val="1"/>
        <charset val="204"/>
      </rPr>
      <t>КПТМ "Криворіжтепломережа"</t>
    </r>
    <r>
      <rPr>
        <sz val="24"/>
        <color theme="1"/>
        <rFont val="Times New Roman"/>
        <family val="1"/>
        <charset val="204"/>
      </rPr>
      <t xml:space="preserve">  для здійснення заходів з енергозбереження: капітальний ремонт теплових мереж, в т.ч. супровідні роботи </t>
    </r>
    <r>
      <rPr>
        <b/>
        <sz val="24"/>
        <color theme="1"/>
        <rFont val="Times New Roman"/>
        <family val="1"/>
        <charset val="204"/>
      </rPr>
      <t>(місцевий бюджет)</t>
    </r>
  </si>
  <si>
    <r>
      <rPr>
        <b/>
        <sz val="24"/>
        <color theme="1"/>
        <rFont val="Times New Roman"/>
        <family val="1"/>
        <charset val="204"/>
      </rPr>
      <t>Фінансове забезпечення КПТМ "Криворіжтепломережа" для здійснення заходів з енергозбереження: реконструкція магістральних теплових мереж, котелень з приєднанням до інженерних мереж  та придбанням обладнання, предметів довгострокового користування (в т.ч. на проєктні та супровідні роботи)</t>
    </r>
    <r>
      <rPr>
        <sz val="24"/>
        <color theme="1"/>
        <rFont val="Times New Roman"/>
        <family val="1"/>
        <charset val="204"/>
      </rPr>
      <t xml:space="preserve"> </t>
    </r>
    <r>
      <rPr>
        <b/>
        <sz val="24"/>
        <color theme="1"/>
        <rFont val="Times New Roman"/>
        <family val="1"/>
        <charset val="204"/>
      </rPr>
      <t>в т.ч.</t>
    </r>
  </si>
  <si>
    <t>6.4.1.</t>
  </si>
  <si>
    <t>Розробка проєктно-кошторисної документації Заходи з енергозбереження. Реконструкція котельні «Центральна» з встановленням когенераційної газопоршневої установки за адресою: 50000, Україна, Дніпропетровська область, м. Кривий Ріг, вулиця Рудна, 53.</t>
  </si>
  <si>
    <t>6.4.2.</t>
  </si>
  <si>
    <t>Заходи з енергозбереження. Реконструкція котельні та приєднання до інженерних мереж з встановленням блочно-модульної котельні за адресою: вулиця Криворіжсталі, 2м, м. Кривий Ріг, Дніпропетровська область  ( в т. ч.ПКД та супровідні роботи)</t>
  </si>
  <si>
    <t>6.4.3.</t>
  </si>
  <si>
    <t>Заходи з енергозбереження. Реконструкція магістральної тепломережі від котельні «Гігант» до ТК-158 в Саксаганському районі м. Кривий Ріг, Дніпропетровська область( в т.ч. ПКД та супровідні роботи)</t>
  </si>
  <si>
    <t>6.4.4.</t>
  </si>
  <si>
    <t>Заходи з енергозбереження. Реконструкція котельні «Механобрчермет» та приєднання до інженерних мереж за адресою: вулиця Телевізійна,3Н, м. Кривий Ріг, Дніпропетровська область.  Розробка ПКД</t>
  </si>
  <si>
    <t>6.4.5.</t>
  </si>
  <si>
    <t>Заходи з енергозбереження. Реконструкція магістральної тепломережі котельні «Гігант» від ТК-158 до ТК- 139 в Саксаганському районі м. Кривий Ріг, Дніпропетровська область. Розробка ПКД</t>
  </si>
  <si>
    <t>6.4.6.</t>
  </si>
  <si>
    <t>Заходи з енергозбереження. Реконструкція магістральної тепломережі котельні «Гігант» від ТК-136 до ТК- 114 в Саксаганському районі м. Кривий Ріг, Дніпропетровська область. Розробка ПКД</t>
  </si>
  <si>
    <t>6.4.7.</t>
  </si>
  <si>
    <t>Заходи з енергозбереження. Реконструкція магістральної теплової мережі від котельні по вулиці Телевізійна,3н до ТК-331 в Довгинцівському районі м. Кривий Ріг, Дніпропетровська область</t>
  </si>
  <si>
    <t>Cубвенція з обласного бюджету до бюджету Криворізької міської територіальної громади для здійснення заходів, в тому числі з енергозбереження, на об’єктах теплопостачання комунальної власності міста Кривий Ріг в умовах збройної агресії Російської Федерації проти України в т.ч.</t>
  </si>
  <si>
    <t>6.5.1.</t>
  </si>
  <si>
    <t xml:space="preserve">« Заходи з енергозбереження. Реконструкція котельні «Центральна» з встановленням когенераційної газопоршневої установки за адресою: 50000, Україна, Дніпропетровська область, м. Кривий Ріг, вулиця Рудна, 53» </t>
  </si>
  <si>
    <r>
      <t>Заходи з енергозбереження.</t>
    </r>
    <r>
      <rPr>
        <i/>
        <sz val="24"/>
        <color theme="1"/>
        <rFont val="Times New Roman"/>
        <family val="1"/>
        <charset val="204"/>
      </rPr>
      <t xml:space="preserve">Реконструкція обладнання на котельні КПНЗ "Центру туризму, краєзнавства та екскурсій учнівської молоді Інгулецького району" КМР ззаміною котлів "Універсал-5" і допоміжного обладнання за адресою: 50000, Україна, Дніпропетровська область м. Кривий Ріг. вул. Ніколозельська, 20 </t>
    </r>
    <r>
      <rPr>
        <b/>
        <i/>
        <sz val="24"/>
        <color theme="1"/>
        <rFont val="Times New Roman"/>
        <family val="1"/>
        <charset val="204"/>
      </rPr>
      <t>КП "Кривбастеплоенерго" КМР</t>
    </r>
  </si>
  <si>
    <t xml:space="preserve">КПТМ "Криворіжтепломережа" ремонт внутрішньоквартальних та магістральних мереж  </t>
  </si>
  <si>
    <t>1217670 "Внески до статутного капіталу суб'єктів господарювання"</t>
  </si>
  <si>
    <t/>
  </si>
  <si>
    <t>7.1.</t>
  </si>
  <si>
    <r>
      <t xml:space="preserve">Поповнення статутного капіталу для придбання спеціалізованої техніки </t>
    </r>
    <r>
      <rPr>
        <b/>
        <sz val="24"/>
        <color theme="1"/>
        <rFont val="Times New Roman"/>
        <family val="1"/>
        <charset val="204"/>
      </rPr>
      <t xml:space="preserve">КП Кривбасводоканал» </t>
    </r>
  </si>
  <si>
    <t>7.2.</t>
  </si>
  <si>
    <r>
      <t xml:space="preserve">Поповнення статутного капіталу на придбання спеціалізованої  техніки та придбання приладу обліку теплової енергії  </t>
    </r>
    <r>
      <rPr>
        <b/>
        <sz val="24"/>
        <color theme="1"/>
        <rFont val="Times New Roman"/>
        <family val="1"/>
        <charset val="204"/>
      </rPr>
      <t>КП «Сансервіс»КМР</t>
    </r>
  </si>
  <si>
    <t>Придбання засобів малої механізації (мотокоса, висоторіз, бензопила, мотоножниці, культиватор)</t>
  </si>
  <si>
    <t>Придбання засобів малої механізації (мотокоса, висоторіз, бензопила, мотоножниці, культиватор) Спецтехніка (автокран, вантажний бортовий тентовий автомобіль, евакуатор, машина дорожня комбінована, автопідйомник, легковий автомобіль)</t>
  </si>
  <si>
    <t>7.3.</t>
  </si>
  <si>
    <r>
      <t xml:space="preserve">Заходи з енергозбереження (реконструкція системи газопостачання котельні КГ №8)                                                     </t>
    </r>
    <r>
      <rPr>
        <b/>
        <sz val="24"/>
        <color theme="1"/>
        <rFont val="Times New Roman"/>
        <family val="1"/>
        <charset val="204"/>
      </rPr>
      <t>КП "Кривбастеплоенерго" КМР</t>
    </r>
  </si>
  <si>
    <t>7.4</t>
  </si>
  <si>
    <r>
      <t xml:space="preserve">Поповнення статутного капіталу на придбання джерел резервного живлення (генераторів) </t>
    </r>
    <r>
      <rPr>
        <b/>
        <i/>
        <sz val="24"/>
        <color indexed="8"/>
        <rFont val="Times New Roman"/>
        <family val="1"/>
        <charset val="204"/>
      </rPr>
      <t>КП "Кривбасводоканал"</t>
    </r>
  </si>
  <si>
    <t>7.5</t>
  </si>
  <si>
    <r>
      <t xml:space="preserve">Поповнення статутного капіталу на придбання джерел резервного живлення (генераторів) </t>
    </r>
    <r>
      <rPr>
        <b/>
        <i/>
        <sz val="24"/>
        <color indexed="8"/>
        <rFont val="Times New Roman"/>
        <family val="1"/>
        <charset val="204"/>
      </rPr>
      <t xml:space="preserve"> КПТМ "Криворіжтепломережа"</t>
    </r>
  </si>
  <si>
    <t>7.6</t>
  </si>
  <si>
    <t>Поповнення статутного капіталу на придбання  автомобіля КП "Центр поводження з тваринами" КМР</t>
  </si>
  <si>
    <t>Поповнення статутного капіталу на придбання  автомобіля КП "Парковка і реклама" КМР</t>
  </si>
  <si>
    <t>7.7</t>
  </si>
  <si>
    <t>Поповнення статутного капіталу на придбання  спецтехніки КПТМ Криворіжтепломережа</t>
  </si>
  <si>
    <t>1218340 "Природоохоронні заходи за рахунок цільових фондів"</t>
  </si>
  <si>
    <r>
      <t xml:space="preserve">КП "Сансервіс" КМР </t>
    </r>
    <r>
      <rPr>
        <sz val="24"/>
        <color theme="1"/>
        <rFont val="Times New Roman"/>
        <family val="1"/>
        <charset val="204"/>
      </rPr>
      <t xml:space="preserve">озеленення                      </t>
    </r>
    <r>
      <rPr>
        <b/>
        <sz val="24"/>
        <color theme="1"/>
        <rFont val="Times New Roman"/>
        <family val="1"/>
        <charset val="204"/>
      </rPr>
      <t xml:space="preserve">     </t>
    </r>
  </si>
  <si>
    <r>
      <rPr>
        <sz val="24"/>
        <color theme="1"/>
        <rFont val="Times New Roman"/>
        <family val="1"/>
        <charset val="204"/>
      </rPr>
      <t>Будівництво, розширення та реконструкція каналізаційних мереж і споруд на них</t>
    </r>
    <r>
      <rPr>
        <b/>
        <sz val="24"/>
        <color theme="1"/>
        <rFont val="Times New Roman"/>
        <family val="1"/>
        <charset val="204"/>
      </rPr>
      <t xml:space="preserve"> КП "Кривбасводоканал"</t>
    </r>
  </si>
  <si>
    <t>7.3</t>
  </si>
  <si>
    <r>
      <t xml:space="preserve">КП "Парк культури і відпочинку ім. Б. Хмельницького" КМР </t>
    </r>
    <r>
      <rPr>
        <sz val="24"/>
        <color theme="1"/>
        <rFont val="Times New Roman"/>
        <family val="1"/>
        <charset val="204"/>
      </rPr>
      <t>озеленення</t>
    </r>
  </si>
  <si>
    <t xml:space="preserve">Послуги з озеленення центральної клумби 
в парку ім. Ф. Мершавцева 
</t>
  </si>
  <si>
    <t>Рекультивація полігону для складування твердих побутових відходів (нове будівництво)</t>
  </si>
  <si>
    <r>
      <t xml:space="preserve"> КП «Кривбастеплоенерго» КМР</t>
    </r>
    <r>
      <rPr>
        <i/>
        <sz val="24"/>
        <rFont val="Times New Roman"/>
        <family val="1"/>
        <charset val="204"/>
      </rPr>
      <t xml:space="preserve"> Комплект комп'ютерної техніки 3 од.</t>
    </r>
  </si>
  <si>
    <t>Придбання обладнання та предметів дорвгострокового користування (тепловізор) КП "Кривбастеплоенерго" КМР</t>
  </si>
  <si>
    <t>Директор департаменту розвитку інфраструктури міста виконкому Криворізької міської ради</t>
  </si>
  <si>
    <t>Іван КАРИЙ</t>
  </si>
  <si>
    <t>Виконавці:</t>
  </si>
  <si>
    <t>Світлана Сереженко,</t>
  </si>
  <si>
    <t>Гоцалюк Анастасія,</t>
  </si>
  <si>
    <t>Шишов Віталій,</t>
  </si>
  <si>
    <t>Скрипій Оксана,</t>
  </si>
  <si>
    <t>Снісаренко Марина,</t>
  </si>
  <si>
    <t>Швець Віта</t>
  </si>
  <si>
    <t>БЮДЖЕТ</t>
  </si>
  <si>
    <t>ПРОГРАМА</t>
  </si>
  <si>
    <t>п.2,1</t>
  </si>
  <si>
    <t xml:space="preserve"> п.2.2</t>
  </si>
  <si>
    <t>п.8</t>
  </si>
  <si>
    <t>п.5,7</t>
  </si>
  <si>
    <t xml:space="preserve">п.1.5 </t>
  </si>
  <si>
    <t>Сума (тис.грн.)</t>
  </si>
  <si>
    <t>п.6.1</t>
  </si>
  <si>
    <t>1216090</t>
  </si>
  <si>
    <t>п.2.1</t>
  </si>
  <si>
    <t>п.6.5</t>
  </si>
  <si>
    <t>п.2,2</t>
  </si>
  <si>
    <t>п.6.8</t>
  </si>
  <si>
    <t>Сума (грн.)</t>
  </si>
  <si>
    <t>п.2.5</t>
  </si>
  <si>
    <t>п.6.11</t>
  </si>
  <si>
    <t>п.2.6</t>
  </si>
  <si>
    <t>п.6.2</t>
  </si>
  <si>
    <t>п.6.2, 6.4, 6.9, 6.10</t>
  </si>
  <si>
    <t>п.1.1</t>
  </si>
  <si>
    <t>1216015</t>
  </si>
  <si>
    <t>п.3.4</t>
  </si>
  <si>
    <t>п.3.1</t>
  </si>
  <si>
    <t>1216030</t>
  </si>
  <si>
    <t>п.4.7</t>
  </si>
  <si>
    <t>1217670</t>
  </si>
  <si>
    <t>п.7.7</t>
  </si>
  <si>
    <t>п.4.18</t>
  </si>
  <si>
    <t>п.4.2</t>
  </si>
  <si>
    <t>1216013</t>
  </si>
  <si>
    <t>п.4.21</t>
  </si>
  <si>
    <t>п.4.24</t>
  </si>
  <si>
    <t>п..4.1</t>
  </si>
  <si>
    <t>п.10.1</t>
  </si>
  <si>
    <t>1217670 "Інші заходи, пов'язані з економічною діяльністю"</t>
  </si>
  <si>
    <t>2026</t>
  </si>
  <si>
    <t>2027</t>
  </si>
  <si>
    <t>2017-2023</t>
  </si>
  <si>
    <t>2017-2024</t>
  </si>
  <si>
    <t>2017-2022</t>
  </si>
  <si>
    <t>2022-2024</t>
  </si>
  <si>
    <t>2019-2024</t>
  </si>
  <si>
    <t>2018-2027</t>
  </si>
  <si>
    <t>2021-2023</t>
  </si>
  <si>
    <t>2018-2019</t>
  </si>
  <si>
    <t>2019-2023</t>
  </si>
  <si>
    <t>2022-2027</t>
  </si>
  <si>
    <t>2024</t>
  </si>
  <si>
    <t>2020-2027</t>
  </si>
  <si>
    <t>2023-2025</t>
  </si>
  <si>
    <t>2017-2025</t>
  </si>
  <si>
    <t>2.4. Придбання в комунальну власність житла для надання в тимчасове користування внутрішньо переміщеним особам та послуги з оформлення відповідних документів</t>
  </si>
  <si>
    <t>4.8. Оснащення вузлами комерційного  обліку теплової енергії житлових будинків, приєднаних до зовнішніх інженерних мереж</t>
  </si>
  <si>
    <t>4.20.  Капіталь-ний  ремонт, будівництво, реконструкція  мереж водо-постачання та водовідведення</t>
  </si>
  <si>
    <t xml:space="preserve">4.22.  Попов-нення статут-ного  капіталу на  придбання спецтехніки, обладнання та   предметів до-вгострокового користування  </t>
  </si>
  <si>
    <t>Субвенція з державного бюджету місцевим бюджетам на здійснення заходів щодо підтримки територій, що зазнали негативного  впливу внаслідок  збройного конфлікту на сході України</t>
  </si>
  <si>
    <t>п.4.16</t>
  </si>
  <si>
    <t>1217640</t>
  </si>
  <si>
    <t>п.6.7</t>
  </si>
  <si>
    <t>Назва напряму діяльнос-ті (пріори-тетні завдання) </t>
  </si>
  <si>
    <t>2017 - 2023 роки</t>
  </si>
  <si>
    <t xml:space="preserve">Субвенція з обласного бюджету бюджетам міст, районів та об’єднанням територіаль-них   громад на виконання доручень виборців  депутатами обласної ради </t>
  </si>
  <si>
    <t>експлуатація та      безперебійна ро-бота. Продовження   терміну експлуатації ліфтів. Заміна табличок з назвами топонімів на будинках на нові</t>
  </si>
  <si>
    <t>1.7. Фінансу-вання пере-можців обласного конкурсу мікропроєктів з енергоефек-тивності та енергозбере-</t>
  </si>
  <si>
    <t>ження серед органів самоорганізації населення й ОСББ</t>
  </si>
  <si>
    <t>Субвенція з обласного бюджету до місцевих бюджетів на фінансування переможців обласного конкурсу мік-</t>
  </si>
  <si>
    <t>ропроєктів з енергоефек-тивності та енерго-збереження серед  органів самоорга-нізації населення та ОСББ</t>
  </si>
  <si>
    <t xml:space="preserve">Підвищення рівня надання населенню житлово-кому-нальних послуг відповідно до вимог національних стандартів, </t>
  </si>
  <si>
    <t>гармонізованих з міжнародними або регіональними</t>
  </si>
  <si>
    <t>експлуатації основних засобів, інших необоротних матеріальних активів, проведення експертиз</t>
  </si>
  <si>
    <t xml:space="preserve">Реалізація заходів з упорядкування об҆єктів, що перебувають на балансовому обліку департаменту </t>
  </si>
  <si>
    <t xml:space="preserve">2.1. Оформлення висновку спеціалізованої організації про можливість (неможливість) подальшої </t>
  </si>
  <si>
    <t xml:space="preserve">ПРОГРАМА   </t>
  </si>
  <si>
    <t>з</t>
  </si>
  <si>
    <t xml:space="preserve">Департамент розвитку інф-раструктури міста виконко-му Криворізь-кої міської ради - голов-ний розпоряд-ник коштів,     Комунальне   підприємство «Кривбасводо-канал» - </t>
  </si>
  <si>
    <t xml:space="preserve">одержувач коштів </t>
  </si>
  <si>
    <t xml:space="preserve"> збройної агре-сії Російської Федерації проти України</t>
  </si>
  <si>
    <t>Субвенція з обласного бю-джету до бюд-жету Криворі-зької міської територіальної громади для здійснення за-ходів із забез-печення  міста Кривого Рогу водопостачан-ням в умовах</t>
  </si>
  <si>
    <t>Південного водосховища</t>
  </si>
  <si>
    <t>здійснення за-ходів із забез-печення  міста Кривого Рогу водопостачан-ням в умовах збройної агре-сії Російської Федерації проти України</t>
  </si>
  <si>
    <t xml:space="preserve"> Гарантування    умов   безпечного та комфортного проживання насе-лення. Надання  об'єднанням співвласників багатоквартир-ного будинку передбаченої чинним зако-нодавством Ук-раїни технічної та/ або іншої документації на житлові будинки. Безпечне  користування   ліфтами  меш-канцями бага-токвартирних  будинків, їх належна технічна                                        </t>
  </si>
  <si>
    <t>Субвенція з обласного бюджету бюджетам міст, районів та об’єднанням територіаль-них громад на виконання доручень виборців депутатами обласної ради</t>
  </si>
  <si>
    <t>розвитку інфаструктури міста виконкому  Криворізької міської ради. Забезпечення діяльності департаменту розвитку інфаструктури міста виконкому Криворізької міської ради в межах повноважень</t>
  </si>
  <si>
    <t>Економія теплової та електричної енергії, природного газу, покращення якості  виконання робіт на системі тепло- постачання. Покращення якості надання послуг з водопостачання та водовідведення. Зниження травма-тизму населення, запобігання нещасним випадкам. Економія енергоресурсів</t>
  </si>
  <si>
    <t xml:space="preserve">Департамент розвитку інф-раструктури міста виконкому Криворізької міської ради - головний роз-порядник коштів, Ко-мунальне  підприємство теплових мереж «Криворіжте-пломережа» - одержувач коштів </t>
  </si>
  <si>
    <t>4.7. Поповнення статутного  капіталу  на  придбання спецтехніки, обладнання  та предметів довгостроко-вого користування</t>
  </si>
  <si>
    <t xml:space="preserve">4.9. Поповнення статутного капіталу  на ви-конання робіт з будівництва, реконструкції, капітального ремонту  коте-лень та  тепло-вих мереж </t>
  </si>
  <si>
    <t>4.11. Заходи щодо врегулю-вання проблем-них питань в опалювальний період 2021/2022 років, пов'язані з різким зроста-нням цін  на енергоресурси</t>
  </si>
  <si>
    <t>4.12. Оплата праці та енергоносіїв (електроенергія, вода тощо)</t>
  </si>
  <si>
    <t>4.13.Придбання обладнання та предметів довгостроко-вого користу-вання (транс-портних засо-бів, спецтехніки та спеціа-лізованої техні-ки, устаткуван-ня, обладнання, пристроїв тощо) для здійснення заходів з енергозбе-реження</t>
  </si>
  <si>
    <t xml:space="preserve">4.14. Придбан-ня обладнання та предметів довгостроко-вого користу-вання (транс-портних засо-бів, спецтехніки та спеціа-лізованої техні-ки, устаткуван-ня, обладнання, пристроїв тощо)  </t>
  </si>
  <si>
    <t>Субвенція з обласного бю-джету для здій-снення заходів,   в тому числі з енергозбереже-ння, на об'єктах теплопостачан-ня комунальної власності міста Кривого Рогу в умовах збройної агре-сії Російської Федерації проти України</t>
  </si>
  <si>
    <t>4.17. Оплата праці та енергоносіїв (електроенергія, вода тощо)</t>
  </si>
  <si>
    <t xml:space="preserve">Департамент розвитку інф-раструктури міста виконкому Криворізької міської ради - головний роз-порядник коштів,     Комунальне   </t>
  </si>
  <si>
    <t xml:space="preserve">підприємство «Кри-вбасводо-канал» - одержувач коштів </t>
  </si>
  <si>
    <t>4.21. Прид-бання мате-ріалів, облад-нання (уста-ткування) для виконання ка-пітальних ре-монтів, будів-ництва, реконс-трукції мереж і споруд водопостачання та водо-відведення</t>
  </si>
  <si>
    <t>4.23. Послуги з обслуговування підвищува-льних насосів холодної води</t>
  </si>
  <si>
    <t xml:space="preserve">4.25.Придбання обладнання та предметів довгостроко-вого користу-вання (транс-портних засо-бів, спецтехніки та спеціа-лізованої техні-ки, устаткуван-ня, обладнання, пристроїв тощо) </t>
  </si>
  <si>
    <t>5.1. Поповнення статутного капіталу на придбання  обладнання   і предметів довгостроко-вого користування</t>
  </si>
  <si>
    <t>Заходи,  пов’язані з економіч-ною дія-льністю Комуналь-ного   зак-ладу   «Дитячий оздоров-чий табір «Перлина Кри-воріжжя» Криворізь-кої міської ради</t>
  </si>
  <si>
    <t>6.1. Заходи, пов´язані з за-лученням кре-дитних ресурсів на впрова-дження проєк-тів з енерго-ефективності</t>
  </si>
  <si>
    <t>Заходи,  пов’язані з економіч-ною дія-льністю Комуналь-ного  під-приємст-ва «Кривбас-теплоенер-го» Криворізь-кої міської ради</t>
  </si>
  <si>
    <t>6.2. Поповнення статутного капіталу на придбання  обладнання і предметів дов-гострокового користування, виконання робі з будівництва, капітального ремонту, реконструкції</t>
  </si>
  <si>
    <t>Департамент розвитку інф-раструктури міста виконкому Криворізької міської  ради -головний розпорядник коштів, Комунальне підприємство «Кривбастеп-лоенерго» Криворізької міської ради - одержувач коштів</t>
  </si>
  <si>
    <t xml:space="preserve"> Заходи, пов'я-зані з реалі-зацією проєкту «Нове будівниц-тво комплексу з перероблення, знешкодження та складування твердих побутових відходів у Металургійно- му районі міста Кривого Рогу Дніпропет-ровської області» </t>
  </si>
  <si>
    <t>Департамент розвитку інф-раструктури міста виконкому Криворізької міської ради,  Комунальне підприємство «Сансервіс» Криворізької міської ради - одержувач коштів</t>
  </si>
  <si>
    <t>Заходи,  пов’язані з енерго-збережен-ням міста</t>
  </si>
  <si>
    <t xml:space="preserve">Департамент розвитку інф-раструктури міста виконкому Криворізької міської ради </t>
  </si>
  <si>
    <t>Оптимізація системи теплопостачання. Зменшення споживання енергоресурсів. Забезпечення оптимального  поєднання централізованої системи теплопостачання</t>
  </si>
  <si>
    <t>Субвенція з обласного бюджету бюджетам міст, районів та об’єднанням територіаль-них   громад на виконання доручень виборців депутатами обласної ради</t>
  </si>
  <si>
    <t>Субвенція з обласного бюджету до бюджету Криворізької міської територіальної громади для здійснення заходів із забезпечення  міста Кривого Рогу водопостачан-ням в умовах збройної агре-сії Російської Федерації проти України</t>
  </si>
  <si>
    <t>розвитку та утримання житлово-комунального  господарства міста на період 2017–2027 років</t>
  </si>
  <si>
    <t>Субвенція з де-ржавного бю-джету місцевим бюджетам на здійснення за-ходів щодо під-тримки терито-рій, що зазнали негативного  впливу внаслі-док  збройного конфлікту на сході України</t>
  </si>
  <si>
    <t>2.8. Реєстрація та перереєстра-ція спеціальної техніки, автотранспорту (узяття на облік та зняття з нього)</t>
  </si>
  <si>
    <t xml:space="preserve">Субвенція з державного бюджету місцевим бюджетам на здійснення за- ходів щодо підтримки територій, що зазнали негативного впливу внаслідок збройного конфлікту на сході України </t>
  </si>
  <si>
    <t>Санітар-на очистка міста</t>
  </si>
  <si>
    <t>3.5. Утримання, поточний, капітальний ремонти контейнерних майданчиків</t>
  </si>
  <si>
    <t>Підтрим-ка  кому-нальних підпри-ємств - надавачів послуг з теплопос-тачання, водопо-стачання та водовідве-дення</t>
  </si>
  <si>
    <t xml:space="preserve">4.10. Придбан-ня матеріалів, обладнання (устаткування) для виконання робіт з буді-вництва, реко-нструкції, капі-тального та поточного ре-монту котелень і  теплових мереж </t>
  </si>
  <si>
    <t xml:space="preserve">Недопущення зниження експлуатаційного рівня води в джерелі питного водопостачання міста за рахунок упровадження альтернативної моделі подачі (перекачування) обсягу води для поповнення </t>
  </si>
  <si>
    <t xml:space="preserve">Субвенція з обласного бю-джету до бю-джету Криворі-зької міської територіальної громади для </t>
  </si>
  <si>
    <t>2017, 2018</t>
  </si>
  <si>
    <t>2020, 2021</t>
  </si>
  <si>
    <t>Заходи,  пов’язані з економіч-ною дія-льністю  Комуналь-ного  під-приємст-ва  «Сансер-віс» Криворізь-кої міської ради</t>
  </si>
  <si>
    <t>Заходи, пов'язані з попере-дженням і ліквіда-цією наслідків збройної агресії Російської Федерації</t>
  </si>
  <si>
    <t>Розвиток та утри-мання житлово-комуналь-ного господар-ства міста</t>
  </si>
  <si>
    <t>Субвенція з обласного бюджету до місцевих бюджетів на фінансування  переможців обласного конкурсу мік-ропроєктів з енергоефек-тивності та енергозбере-ження серед  органів самоорганіза-ції населення та ОСББ</t>
  </si>
  <si>
    <t>Субвенція з обласного бюджету для здійснення заходів,   у тому числі з енергозбере-ження, на об'єк-тах теплопоста-чання комунальної власності міста Кривого Рогу в умовах збройної агре-сії Російської Федерації проти України</t>
  </si>
  <si>
    <t>2.7. Висвітлен-ня діяльності департаменту розвитку інфра-структури міста виконкому Криворізької міської ради в медіа</t>
  </si>
  <si>
    <t>Усього за Програмою, у тому числі:</t>
  </si>
  <si>
    <t>Заходи,  пов’язані з енергозбере-женням міста (розроблення схеми теплопостачання міста)</t>
  </si>
  <si>
    <t xml:space="preserve">4.16.  Заходи з енергозбере-ження (вико-нання робіт з будівництва, реконструкції, капітального ремонту коте-лень та інжененрних мереж) </t>
  </si>
  <si>
    <t>до рішення виконкому міської ради</t>
  </si>
  <si>
    <t xml:space="preserve">   Додаток 2</t>
  </si>
  <si>
    <r>
      <t>Перелік завдань і заходів  Програми розвитку та утримання                                                                                                                    житлово-комунального  господарства міста на період 2017</t>
    </r>
    <r>
      <rPr>
        <b/>
        <sz val="28"/>
        <color theme="1"/>
        <rFont val="Times New Roman"/>
        <family val="1"/>
        <charset val="204"/>
      </rPr>
      <t>–</t>
    </r>
    <r>
      <rPr>
        <b/>
        <i/>
        <sz val="28"/>
        <color theme="1"/>
        <rFont val="Times New Roman"/>
        <family val="1"/>
        <charset val="204"/>
      </rPr>
      <t>2027 років</t>
    </r>
  </si>
  <si>
    <t xml:space="preserve">2.6. Витрати, пов'язані із судовими процесами,ого-лошеннями за судовими справами, послугами: з питань патентування та авторського </t>
  </si>
  <si>
    <t>права, юридичними, поштовими та з оформлення справ для архіву</t>
  </si>
  <si>
    <t>Олена ШОВГЕЛЯ</t>
  </si>
  <si>
    <t xml:space="preserve">Керуюча справами виконкому                                                    </t>
  </si>
  <si>
    <t>25.11.2024 №1521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</si>
</sst>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
  </numFmts>
  <fonts count="63" x14ac:knownFonts="1">
    <font>
      <sz val="10"/>
      <name val="Arial Cyr"/>
      <charset val="204"/>
    </font>
    <font>
      <sz val="14"/>
      <color indexed="8"/>
      <name val="Times New Roman"/>
      <family val="1"/>
      <charset val="204"/>
    </font>
    <font>
      <sz val="10"/>
      <name val="Arial Cyr"/>
      <charset val="204"/>
    </font>
    <font>
      <b/>
      <i/>
      <sz val="26"/>
      <color indexed="8"/>
      <name val="Times New Roman"/>
      <family val="1"/>
      <charset val="204"/>
    </font>
    <font>
      <b/>
      <i/>
      <sz val="26"/>
      <name val="Times New Roman"/>
      <family val="1"/>
      <charset val="204"/>
    </font>
    <font>
      <i/>
      <sz val="24"/>
      <name val="Times New Roman"/>
      <family val="1"/>
      <charset val="204"/>
    </font>
    <font>
      <sz val="20"/>
      <name val="Times New Roman"/>
      <family val="1"/>
      <charset val="204"/>
    </font>
    <font>
      <sz val="10"/>
      <name val="Times New Roman"/>
      <family val="1"/>
      <charset val="204"/>
    </font>
    <font>
      <sz val="30"/>
      <name val="Times New Roman"/>
      <family val="1"/>
      <charset val="204"/>
    </font>
    <font>
      <b/>
      <i/>
      <sz val="33"/>
      <name val="Times New Roman"/>
      <family val="1"/>
      <charset val="204"/>
    </font>
    <font>
      <sz val="33"/>
      <name val="Times New Roman"/>
      <family val="1"/>
      <charset val="204"/>
    </font>
    <font>
      <b/>
      <i/>
      <sz val="30"/>
      <color theme="0"/>
      <name val="Times New Roman"/>
      <family val="1"/>
      <charset val="204"/>
    </font>
    <font>
      <b/>
      <i/>
      <sz val="26"/>
      <color theme="0"/>
      <name val="Times New Roman"/>
      <family val="1"/>
      <charset val="204"/>
    </font>
    <font>
      <sz val="10"/>
      <color rgb="FFFF0000"/>
      <name val="Times New Roman"/>
      <family val="1"/>
      <charset val="204"/>
    </font>
    <font>
      <b/>
      <i/>
      <sz val="36"/>
      <name val="Times New Roman"/>
      <family val="1"/>
      <charset val="204"/>
    </font>
    <font>
      <sz val="26"/>
      <name val="Times New Roman"/>
      <family val="1"/>
      <charset val="204"/>
    </font>
    <font>
      <b/>
      <sz val="26"/>
      <name val="Times New Roman"/>
      <family val="1"/>
      <charset val="204"/>
    </font>
    <font>
      <sz val="28"/>
      <name val="Times New Roman"/>
      <family val="1"/>
      <charset val="204"/>
    </font>
    <font>
      <sz val="12"/>
      <color rgb="FF000000"/>
      <name val="Times New Roman"/>
      <family val="1"/>
      <charset val="204"/>
    </font>
    <font>
      <b/>
      <sz val="20"/>
      <color theme="1"/>
      <name val="Times New Roman"/>
      <family val="1"/>
      <charset val="204"/>
    </font>
    <font>
      <sz val="14"/>
      <color theme="1"/>
      <name val="Times New Roman"/>
      <family val="1"/>
      <charset val="204"/>
    </font>
    <font>
      <b/>
      <sz val="16"/>
      <color theme="1"/>
      <name val="Times New Roman"/>
      <family val="1"/>
      <charset val="204"/>
    </font>
    <font>
      <b/>
      <u/>
      <sz val="16"/>
      <color theme="1"/>
      <name val="Times New Roman"/>
      <family val="1"/>
      <charset val="204"/>
    </font>
    <font>
      <sz val="26"/>
      <color theme="1"/>
      <name val="Times New Roman"/>
      <family val="1"/>
      <charset val="204"/>
    </font>
    <font>
      <b/>
      <sz val="14"/>
      <color theme="1"/>
      <name val="Times New Roman"/>
      <family val="1"/>
      <charset val="204"/>
    </font>
    <font>
      <sz val="24"/>
      <color theme="1"/>
      <name val="Times New Roman"/>
      <family val="1"/>
      <charset val="204"/>
    </font>
    <font>
      <b/>
      <sz val="24"/>
      <color theme="1"/>
      <name val="Times New Roman"/>
      <family val="1"/>
      <charset val="204"/>
    </font>
    <font>
      <b/>
      <sz val="26"/>
      <color theme="1"/>
      <name val="Times New Roman"/>
      <family val="1"/>
      <charset val="204"/>
    </font>
    <font>
      <b/>
      <i/>
      <sz val="24"/>
      <color theme="1"/>
      <name val="Times New Roman"/>
      <family val="1"/>
      <charset val="204"/>
    </font>
    <font>
      <sz val="22"/>
      <color theme="1"/>
      <name val="Times New Roman"/>
      <family val="1"/>
      <charset val="204"/>
    </font>
    <font>
      <sz val="10"/>
      <name val="Arial"/>
      <family val="2"/>
      <charset val="204"/>
    </font>
    <font>
      <b/>
      <i/>
      <sz val="22"/>
      <color theme="1"/>
      <name val="Times New Roman"/>
      <family val="1"/>
      <charset val="204"/>
    </font>
    <font>
      <b/>
      <i/>
      <sz val="14"/>
      <color theme="1"/>
      <name val="Times New Roman"/>
      <family val="1"/>
      <charset val="204"/>
    </font>
    <font>
      <sz val="24"/>
      <name val="Times New Roman"/>
      <family val="1"/>
      <charset val="204"/>
    </font>
    <font>
      <i/>
      <sz val="17"/>
      <name val="Times New Roman"/>
      <family val="1"/>
      <charset val="204"/>
    </font>
    <font>
      <i/>
      <sz val="26"/>
      <color theme="1"/>
      <name val="Times New Roman"/>
      <family val="1"/>
      <charset val="204"/>
    </font>
    <font>
      <sz val="22"/>
      <color rgb="FFFF0000"/>
      <name val="Times New Roman"/>
      <family val="1"/>
      <charset val="204"/>
    </font>
    <font>
      <i/>
      <sz val="24"/>
      <color theme="1"/>
      <name val="Times New Roman"/>
      <family val="1"/>
      <charset val="204"/>
    </font>
    <font>
      <b/>
      <i/>
      <sz val="20"/>
      <color theme="1"/>
      <name val="Times New Roman"/>
      <family val="1"/>
      <charset val="204"/>
    </font>
    <font>
      <b/>
      <i/>
      <sz val="26"/>
      <color theme="1"/>
      <name val="Times New Roman"/>
      <family val="1"/>
      <charset val="204"/>
    </font>
    <font>
      <b/>
      <i/>
      <sz val="36"/>
      <color theme="1"/>
      <name val="Times New Roman"/>
      <family val="1"/>
      <charset val="204"/>
    </font>
    <font>
      <b/>
      <sz val="24"/>
      <name val="Times New Roman"/>
      <family val="1"/>
      <charset val="204"/>
    </font>
    <font>
      <sz val="28"/>
      <color theme="1"/>
      <name val="Times New Roman"/>
      <family val="1"/>
      <charset val="204"/>
    </font>
    <font>
      <b/>
      <i/>
      <sz val="24"/>
      <name val="Times New Roman"/>
      <family val="1"/>
      <charset val="204"/>
    </font>
    <font>
      <b/>
      <sz val="24"/>
      <color rgb="FFFF0000"/>
      <name val="Times New Roman"/>
      <family val="1"/>
      <charset val="204"/>
    </font>
    <font>
      <b/>
      <sz val="28"/>
      <color theme="1"/>
      <name val="Times New Roman"/>
      <family val="1"/>
      <charset val="204"/>
    </font>
    <font>
      <sz val="11"/>
      <color theme="1"/>
      <name val="Calibri"/>
      <family val="2"/>
      <scheme val="minor"/>
    </font>
    <font>
      <i/>
      <sz val="14"/>
      <color theme="1"/>
      <name val="Times New Roman"/>
      <family val="1"/>
      <charset val="204"/>
    </font>
    <font>
      <b/>
      <sz val="22"/>
      <color theme="1"/>
      <name val="Times New Roman"/>
      <family val="1"/>
      <charset val="204"/>
    </font>
    <font>
      <b/>
      <i/>
      <sz val="24"/>
      <color indexed="8"/>
      <name val="Times New Roman"/>
      <family val="1"/>
      <charset val="204"/>
    </font>
    <font>
      <i/>
      <sz val="16"/>
      <color theme="1"/>
      <name val="Times New Roman"/>
      <family val="1"/>
      <charset val="204"/>
    </font>
    <font>
      <b/>
      <sz val="9"/>
      <color indexed="81"/>
      <name val="Tahoma"/>
      <family val="2"/>
      <charset val="204"/>
    </font>
    <font>
      <sz val="9"/>
      <color indexed="81"/>
      <name val="Tahoma"/>
      <family val="2"/>
      <charset val="204"/>
    </font>
    <font>
      <sz val="20"/>
      <color theme="1"/>
      <name val="Times New Roman"/>
      <family val="1"/>
      <charset val="204"/>
    </font>
    <font>
      <b/>
      <i/>
      <sz val="28"/>
      <name val="Times New Roman"/>
      <family val="1"/>
      <charset val="204"/>
    </font>
    <font>
      <sz val="10"/>
      <color theme="1"/>
      <name val="Times New Roman"/>
      <family val="1"/>
      <charset val="204"/>
    </font>
    <font>
      <i/>
      <sz val="20"/>
      <color theme="1"/>
      <name val="Times New Roman"/>
      <family val="1"/>
      <charset val="204"/>
    </font>
    <font>
      <i/>
      <sz val="22"/>
      <color theme="1"/>
      <name val="Times New Roman"/>
      <family val="1"/>
      <charset val="204"/>
    </font>
    <font>
      <b/>
      <i/>
      <sz val="28"/>
      <color theme="1"/>
      <name val="Times New Roman"/>
      <family val="1"/>
      <charset val="204"/>
    </font>
    <font>
      <sz val="20"/>
      <color theme="1"/>
      <name val="Arial Cyr"/>
      <charset val="204"/>
    </font>
    <font>
      <sz val="10"/>
      <color theme="1"/>
      <name val="Arial Cyr"/>
      <charset val="204"/>
    </font>
    <font>
      <sz val="19"/>
      <color theme="1"/>
      <name val="Times New Roman"/>
      <family val="1"/>
      <charset val="204"/>
    </font>
    <font>
      <sz val="19.5"/>
      <color theme="1"/>
      <name val="Times New Roman"/>
      <family val="1"/>
      <charset val="204"/>
    </font>
  </fonts>
  <fills count="11">
    <fill>
      <patternFill patternType="none"/>
    </fill>
    <fill>
      <patternFill patternType="gray125"/>
    </fill>
    <fill>
      <patternFill patternType="solid">
        <fgColor rgb="FFFFFF00"/>
        <bgColor indexed="64"/>
      </patternFill>
    </fill>
    <fill>
      <patternFill patternType="solid">
        <fgColor rgb="FFFFFFFF"/>
        <bgColor indexed="64"/>
      </patternFill>
    </fill>
    <fill>
      <patternFill patternType="solid">
        <fgColor theme="0"/>
        <bgColor indexed="64"/>
      </patternFill>
    </fill>
    <fill>
      <patternFill patternType="solid">
        <fgColor rgb="FF00B0F0"/>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theme="4"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style="thin">
        <color indexed="64"/>
      </top>
      <bottom style="thin">
        <color indexed="64"/>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6">
    <xf numFmtId="0" fontId="0" fillId="0" borderId="0"/>
    <xf numFmtId="0" fontId="2" fillId="0" borderId="0"/>
    <xf numFmtId="0" fontId="30" fillId="0" borderId="0"/>
    <xf numFmtId="0" fontId="30" fillId="0" borderId="0"/>
    <xf numFmtId="0" fontId="46" fillId="0" borderId="0"/>
    <xf numFmtId="0" fontId="30" fillId="0" borderId="0"/>
  </cellStyleXfs>
  <cellXfs count="452">
    <xf numFmtId="0" fontId="0" fillId="0" borderId="0" xfId="0"/>
    <xf numFmtId="0" fontId="4" fillId="0" borderId="0" xfId="0" applyFont="1"/>
    <xf numFmtId="0" fontId="5" fillId="0" borderId="0" xfId="0" applyFont="1" applyAlignment="1">
      <alignment vertical="center" wrapText="1"/>
    </xf>
    <xf numFmtId="0" fontId="7" fillId="0" borderId="0" xfId="0" applyFont="1"/>
    <xf numFmtId="4" fontId="7" fillId="0" borderId="0" xfId="0" applyNumberFormat="1" applyFont="1"/>
    <xf numFmtId="0" fontId="8" fillId="0" borderId="0" xfId="0" applyFont="1"/>
    <xf numFmtId="0" fontId="6" fillId="0" borderId="0" xfId="0" applyFont="1" applyAlignment="1">
      <alignment horizontal="center" vertical="top" wrapText="1"/>
    </xf>
    <xf numFmtId="0" fontId="11" fillId="0" borderId="0" xfId="0" applyFont="1" applyAlignment="1">
      <alignment horizontal="left"/>
    </xf>
    <xf numFmtId="0" fontId="6" fillId="0" borderId="1" xfId="0" applyFont="1" applyBorder="1" applyAlignment="1">
      <alignment horizontal="center" vertical="top" wrapText="1"/>
    </xf>
    <xf numFmtId="0" fontId="7" fillId="0" borderId="6" xfId="0" applyFont="1" applyBorder="1"/>
    <xf numFmtId="0" fontId="13" fillId="0" borderId="0" xfId="0" applyFont="1"/>
    <xf numFmtId="0" fontId="7" fillId="2" borderId="0" xfId="0" applyFont="1" applyFill="1"/>
    <xf numFmtId="4" fontId="16" fillId="0" borderId="1" xfId="0" applyNumberFormat="1" applyFont="1" applyBorder="1" applyAlignment="1">
      <alignment horizontal="center" vertical="center"/>
    </xf>
    <xf numFmtId="0" fontId="6" fillId="0" borderId="7" xfId="0" applyFont="1" applyBorder="1" applyAlignment="1">
      <alignment horizontal="center" vertical="top" wrapText="1"/>
    </xf>
    <xf numFmtId="0" fontId="6" fillId="0" borderId="0" xfId="0" applyFont="1" applyAlignment="1">
      <alignment horizontal="left" vertical="top" wrapText="1"/>
    </xf>
    <xf numFmtId="0" fontId="10" fillId="0" borderId="0" xfId="0" applyFont="1" applyAlignment="1">
      <alignment horizontal="left"/>
    </xf>
    <xf numFmtId="4" fontId="20" fillId="0" borderId="0" xfId="0" applyNumberFormat="1" applyFont="1"/>
    <xf numFmtId="4" fontId="20" fillId="0" borderId="0" xfId="0" applyNumberFormat="1" applyFont="1" applyAlignment="1">
      <alignment horizontal="center" vertical="center"/>
    </xf>
    <xf numFmtId="4" fontId="20" fillId="0" borderId="0" xfId="0" applyNumberFormat="1" applyFont="1" applyAlignment="1">
      <alignment vertical="center"/>
    </xf>
    <xf numFmtId="1" fontId="20" fillId="0" borderId="0" xfId="0" applyNumberFormat="1" applyFont="1" applyAlignment="1">
      <alignment horizontal="center" vertical="center"/>
    </xf>
    <xf numFmtId="49" fontId="20" fillId="0" borderId="0" xfId="0" applyNumberFormat="1" applyFont="1" applyAlignment="1">
      <alignment horizontal="center" vertical="center"/>
    </xf>
    <xf numFmtId="4" fontId="21" fillId="0" borderId="1" xfId="0" applyNumberFormat="1" applyFont="1" applyBorder="1" applyAlignment="1">
      <alignment horizontal="center" vertical="top" wrapText="1"/>
    </xf>
    <xf numFmtId="4" fontId="21" fillId="0" borderId="1" xfId="0" applyNumberFormat="1" applyFont="1" applyBorder="1" applyAlignment="1">
      <alignment horizontal="center" vertical="center" wrapText="1"/>
    </xf>
    <xf numFmtId="1" fontId="21" fillId="0" borderId="1" xfId="0" applyNumberFormat="1" applyFont="1" applyBorder="1" applyAlignment="1">
      <alignment horizontal="center" vertical="center" wrapText="1"/>
    </xf>
    <xf numFmtId="14" fontId="23" fillId="0" borderId="0" xfId="0" applyNumberFormat="1" applyFont="1"/>
    <xf numFmtId="3" fontId="24" fillId="0" borderId="1" xfId="0" applyNumberFormat="1" applyFont="1" applyBorder="1" applyAlignment="1">
      <alignment horizontal="center"/>
    </xf>
    <xf numFmtId="3" fontId="24" fillId="0" borderId="1" xfId="0" applyNumberFormat="1" applyFont="1" applyBorder="1" applyAlignment="1">
      <alignment horizontal="center" vertical="center"/>
    </xf>
    <xf numFmtId="4" fontId="25" fillId="6" borderId="1" xfId="0" applyNumberFormat="1" applyFont="1" applyFill="1" applyBorder="1"/>
    <xf numFmtId="4" fontId="25" fillId="6" borderId="1" xfId="0" applyNumberFormat="1" applyFont="1" applyFill="1" applyBorder="1" applyAlignment="1">
      <alignment horizontal="center" vertical="center"/>
    </xf>
    <xf numFmtId="4" fontId="26" fillId="6" borderId="1" xfId="0" applyNumberFormat="1" applyFont="1" applyFill="1" applyBorder="1" applyAlignment="1">
      <alignment horizontal="left" vertical="center"/>
    </xf>
    <xf numFmtId="1" fontId="26" fillId="6" borderId="1" xfId="0" applyNumberFormat="1" applyFont="1" applyFill="1" applyBorder="1" applyAlignment="1">
      <alignment horizontal="center" vertical="center"/>
    </xf>
    <xf numFmtId="4" fontId="27" fillId="6" borderId="1" xfId="0" applyNumberFormat="1" applyFont="1" applyFill="1" applyBorder="1" applyAlignment="1">
      <alignment horizontal="center" vertical="center"/>
    </xf>
    <xf numFmtId="4" fontId="20" fillId="0" borderId="0" xfId="0" applyNumberFormat="1" applyFont="1" applyBorder="1"/>
    <xf numFmtId="4" fontId="28" fillId="6" borderId="1" xfId="0" applyNumberFormat="1" applyFont="1" applyFill="1" applyBorder="1" applyAlignment="1">
      <alignment horizontal="center" vertical="center" wrapText="1"/>
    </xf>
    <xf numFmtId="1" fontId="26" fillId="6" borderId="1" xfId="0" applyNumberFormat="1" applyFont="1" applyFill="1" applyBorder="1" applyAlignment="1">
      <alignment horizontal="center" vertical="center" wrapText="1"/>
    </xf>
    <xf numFmtId="4" fontId="29" fillId="0" borderId="0" xfId="0" applyNumberFormat="1" applyFont="1" applyBorder="1"/>
    <xf numFmtId="4" fontId="31" fillId="0" borderId="0" xfId="2" applyNumberFormat="1" applyFont="1" applyFill="1" applyBorder="1" applyAlignment="1">
      <alignment vertical="center"/>
    </xf>
    <xf numFmtId="4" fontId="32" fillId="0" borderId="0" xfId="2" applyNumberFormat="1" applyFont="1" applyFill="1" applyBorder="1" applyAlignment="1">
      <alignment vertical="center"/>
    </xf>
    <xf numFmtId="4" fontId="26" fillId="0" borderId="1" xfId="2" applyNumberFormat="1" applyFont="1" applyFill="1" applyBorder="1" applyAlignment="1">
      <alignment horizontal="center" vertical="center"/>
    </xf>
    <xf numFmtId="4" fontId="25" fillId="0" borderId="1" xfId="2" applyNumberFormat="1" applyFont="1" applyFill="1" applyBorder="1" applyAlignment="1">
      <alignment horizontal="center" vertical="center"/>
    </xf>
    <xf numFmtId="4" fontId="33" fillId="4" borderId="1" xfId="0" applyNumberFormat="1" applyFont="1" applyFill="1" applyBorder="1" applyAlignment="1">
      <alignment vertical="center" wrapText="1"/>
    </xf>
    <xf numFmtId="1" fontId="33" fillId="4" borderId="1" xfId="0" applyNumberFormat="1" applyFont="1" applyFill="1" applyBorder="1" applyAlignment="1">
      <alignment horizontal="center" vertical="center" wrapText="1"/>
    </xf>
    <xf numFmtId="4" fontId="27" fillId="0" borderId="1" xfId="2" applyNumberFormat="1" applyFont="1" applyFill="1" applyBorder="1" applyAlignment="1">
      <alignment horizontal="center" vertical="center" wrapText="1"/>
    </xf>
    <xf numFmtId="4" fontId="27" fillId="0" borderId="1" xfId="2" applyNumberFormat="1" applyFont="1" applyFill="1" applyBorder="1" applyAlignment="1">
      <alignment horizontal="center" vertical="center"/>
    </xf>
    <xf numFmtId="4" fontId="23" fillId="0" borderId="1" xfId="2" applyNumberFormat="1" applyFont="1" applyFill="1" applyBorder="1" applyAlignment="1">
      <alignment horizontal="center" vertical="center" wrapText="1"/>
    </xf>
    <xf numFmtId="4" fontId="36" fillId="0" borderId="0" xfId="0" applyNumberFormat="1" applyFont="1" applyBorder="1"/>
    <xf numFmtId="4" fontId="37" fillId="0" borderId="1" xfId="0" applyNumberFormat="1" applyFont="1" applyFill="1" applyBorder="1" applyAlignment="1">
      <alignment horizontal="left" vertical="center" wrapText="1"/>
    </xf>
    <xf numFmtId="4" fontId="23" fillId="0" borderId="1" xfId="2" applyNumberFormat="1" applyFont="1" applyFill="1" applyBorder="1" applyAlignment="1">
      <alignment horizontal="center" vertical="center"/>
    </xf>
    <xf numFmtId="4" fontId="38" fillId="0" borderId="0" xfId="2" applyNumberFormat="1" applyFont="1" applyFill="1" applyBorder="1" applyAlignment="1">
      <alignment vertical="center"/>
    </xf>
    <xf numFmtId="4" fontId="26" fillId="6" borderId="1" xfId="0" applyNumberFormat="1" applyFont="1" applyFill="1" applyBorder="1" applyAlignment="1">
      <alignment horizontal="center" vertical="center"/>
    </xf>
    <xf numFmtId="4" fontId="26" fillId="6" borderId="1" xfId="2" applyNumberFormat="1" applyFont="1" applyFill="1" applyBorder="1" applyAlignment="1">
      <alignment horizontal="left" vertical="center" wrapText="1"/>
    </xf>
    <xf numFmtId="4" fontId="25" fillId="0" borderId="1" xfId="2" applyNumberFormat="1" applyFont="1" applyFill="1" applyBorder="1" applyAlignment="1">
      <alignment horizontal="left" vertical="center" wrapText="1"/>
    </xf>
    <xf numFmtId="49" fontId="25" fillId="0" borderId="1" xfId="2" applyNumberFormat="1" applyFont="1" applyFill="1" applyBorder="1" applyAlignment="1">
      <alignment horizontal="center" vertical="center"/>
    </xf>
    <xf numFmtId="4" fontId="25" fillId="0" borderId="1" xfId="2" applyNumberFormat="1" applyFont="1" applyFill="1" applyBorder="1" applyAlignment="1">
      <alignment horizontal="center" vertical="center" wrapText="1"/>
    </xf>
    <xf numFmtId="4" fontId="25" fillId="0" borderId="1" xfId="0" applyNumberFormat="1" applyFont="1" applyBorder="1" applyAlignment="1">
      <alignment horizontal="center" vertical="center"/>
    </xf>
    <xf numFmtId="4" fontId="37" fillId="0" borderId="1" xfId="2" applyNumberFormat="1" applyFont="1" applyFill="1" applyBorder="1" applyAlignment="1">
      <alignment horizontal="left" vertical="center" wrapText="1"/>
    </xf>
    <xf numFmtId="49" fontId="37" fillId="0" borderId="1" xfId="2" applyNumberFormat="1" applyFont="1" applyFill="1" applyBorder="1" applyAlignment="1">
      <alignment horizontal="center" vertical="center"/>
    </xf>
    <xf numFmtId="4" fontId="37" fillId="0" borderId="1" xfId="2" applyNumberFormat="1" applyFont="1" applyFill="1" applyBorder="1" applyAlignment="1">
      <alignment horizontal="center" vertical="center"/>
    </xf>
    <xf numFmtId="49" fontId="28" fillId="0" borderId="1" xfId="2" applyNumberFormat="1" applyFont="1" applyFill="1" applyBorder="1" applyAlignment="1">
      <alignment horizontal="center" vertical="center"/>
    </xf>
    <xf numFmtId="4" fontId="39" fillId="0" borderId="1" xfId="2" applyNumberFormat="1" applyFont="1" applyFill="1" applyBorder="1" applyAlignment="1">
      <alignment horizontal="left" vertical="center" wrapText="1"/>
    </xf>
    <xf numFmtId="1" fontId="26" fillId="0" borderId="1" xfId="2" applyNumberFormat="1" applyFont="1" applyFill="1" applyBorder="1" applyAlignment="1">
      <alignment horizontal="center" vertical="center"/>
    </xf>
    <xf numFmtId="4" fontId="26" fillId="0" borderId="4" xfId="2" applyNumberFormat="1" applyFont="1" applyFill="1" applyBorder="1" applyAlignment="1">
      <alignment horizontal="center" vertical="center"/>
    </xf>
    <xf numFmtId="49" fontId="26" fillId="0" borderId="1" xfId="2" applyNumberFormat="1" applyFont="1" applyFill="1" applyBorder="1" applyAlignment="1">
      <alignment horizontal="center" vertical="center"/>
    </xf>
    <xf numFmtId="4" fontId="26" fillId="0" borderId="1" xfId="2" applyNumberFormat="1" applyFont="1" applyFill="1" applyBorder="1" applyAlignment="1">
      <alignment horizontal="left" vertical="center" wrapText="1"/>
    </xf>
    <xf numFmtId="1" fontId="25" fillId="0" borderId="1" xfId="2" applyNumberFormat="1" applyFont="1" applyFill="1" applyBorder="1" applyAlignment="1">
      <alignment horizontal="center" vertical="center"/>
    </xf>
    <xf numFmtId="4" fontId="25" fillId="6" borderId="1" xfId="2" applyNumberFormat="1" applyFont="1" applyFill="1" applyBorder="1" applyAlignment="1">
      <alignment vertical="center"/>
    </xf>
    <xf numFmtId="4" fontId="26" fillId="6" borderId="1" xfId="2" applyNumberFormat="1" applyFont="1" applyFill="1" applyBorder="1" applyAlignment="1">
      <alignment horizontal="center" vertical="center"/>
    </xf>
    <xf numFmtId="4" fontId="26" fillId="6" borderId="1" xfId="2" applyNumberFormat="1" applyFont="1" applyFill="1" applyBorder="1" applyAlignment="1">
      <alignment vertical="center"/>
    </xf>
    <xf numFmtId="1" fontId="26" fillId="6" borderId="1" xfId="2" applyNumberFormat="1" applyFont="1" applyFill="1" applyBorder="1" applyAlignment="1">
      <alignment horizontal="center" vertical="center"/>
    </xf>
    <xf numFmtId="1" fontId="25" fillId="0" borderId="1" xfId="0" applyNumberFormat="1" applyFont="1" applyBorder="1" applyAlignment="1">
      <alignment horizontal="center" vertical="center" wrapText="1"/>
    </xf>
    <xf numFmtId="4" fontId="23" fillId="0" borderId="1" xfId="0" applyNumberFormat="1" applyFont="1" applyBorder="1" applyAlignment="1">
      <alignment horizontal="center" vertical="center"/>
    </xf>
    <xf numFmtId="4" fontId="23" fillId="0" borderId="1" xfId="2" quotePrefix="1" applyNumberFormat="1" applyFont="1" applyFill="1" applyBorder="1" applyAlignment="1">
      <alignment horizontal="center" vertical="center"/>
    </xf>
    <xf numFmtId="4" fontId="25" fillId="6" borderId="1" xfId="2" applyNumberFormat="1" applyFont="1" applyFill="1" applyBorder="1" applyAlignment="1">
      <alignment horizontal="center" vertical="center"/>
    </xf>
    <xf numFmtId="49" fontId="33" fillId="0" borderId="1" xfId="2" applyNumberFormat="1" applyFont="1" applyFill="1" applyBorder="1" applyAlignment="1">
      <alignment horizontal="left" vertical="center" wrapText="1"/>
    </xf>
    <xf numFmtId="4" fontId="42" fillId="0" borderId="1" xfId="2" applyNumberFormat="1" applyFont="1" applyFill="1" applyBorder="1" applyAlignment="1">
      <alignment horizontal="center" vertical="center"/>
    </xf>
    <xf numFmtId="4" fontId="42" fillId="0" borderId="1" xfId="2" applyNumberFormat="1" applyFont="1" applyFill="1" applyBorder="1" applyAlignment="1">
      <alignment horizontal="center" vertical="center" wrapText="1"/>
    </xf>
    <xf numFmtId="4" fontId="41" fillId="0" borderId="1" xfId="0" applyNumberFormat="1" applyFont="1" applyFill="1" applyBorder="1" applyAlignment="1">
      <alignment horizontal="center" vertical="center"/>
    </xf>
    <xf numFmtId="4" fontId="43" fillId="0" borderId="1" xfId="2" applyNumberFormat="1" applyFont="1" applyFill="1" applyBorder="1" applyAlignment="1">
      <alignment horizontal="left" vertical="center" wrapText="1"/>
    </xf>
    <xf numFmtId="1" fontId="33" fillId="0" borderId="1" xfId="0" applyNumberFormat="1" applyFont="1" applyFill="1" applyBorder="1" applyAlignment="1">
      <alignment horizontal="center" vertical="center"/>
    </xf>
    <xf numFmtId="4" fontId="16" fillId="0" borderId="1" xfId="0" applyNumberFormat="1" applyFont="1" applyFill="1" applyBorder="1" applyAlignment="1">
      <alignment horizontal="center" vertical="center"/>
    </xf>
    <xf numFmtId="4" fontId="33" fillId="0" borderId="1" xfId="0" applyNumberFormat="1" applyFont="1" applyBorder="1" applyAlignment="1">
      <alignment horizontal="center" vertical="center"/>
    </xf>
    <xf numFmtId="4" fontId="33" fillId="0" borderId="1" xfId="2" applyNumberFormat="1" applyFont="1" applyFill="1" applyBorder="1" applyAlignment="1">
      <alignment vertical="center" wrapText="1"/>
    </xf>
    <xf numFmtId="1" fontId="33" fillId="0" borderId="1" xfId="0" applyNumberFormat="1" applyFont="1" applyBorder="1" applyAlignment="1">
      <alignment horizontal="center" vertical="center" wrapText="1"/>
    </xf>
    <xf numFmtId="4" fontId="15" fillId="0" borderId="1" xfId="0" applyNumberFormat="1" applyFont="1" applyBorder="1" applyAlignment="1">
      <alignment horizontal="center" vertical="center"/>
    </xf>
    <xf numFmtId="4" fontId="15" fillId="4" borderId="1" xfId="0" applyNumberFormat="1" applyFont="1" applyFill="1" applyBorder="1" applyAlignment="1">
      <alignment horizontal="center" vertical="center"/>
    </xf>
    <xf numFmtId="4" fontId="15" fillId="0" borderId="1" xfId="0" applyNumberFormat="1" applyFont="1" applyFill="1" applyBorder="1" applyAlignment="1">
      <alignment horizontal="center" vertical="center"/>
    </xf>
    <xf numFmtId="4" fontId="15" fillId="0" borderId="1" xfId="0" applyNumberFormat="1" applyFont="1" applyFill="1" applyBorder="1" applyAlignment="1">
      <alignment horizontal="center" vertical="center" wrapText="1"/>
    </xf>
    <xf numFmtId="4" fontId="17" fillId="0" borderId="1" xfId="0" applyNumberFormat="1" applyFont="1" applyBorder="1" applyAlignment="1">
      <alignment horizontal="center" vertical="center" wrapText="1"/>
    </xf>
    <xf numFmtId="4" fontId="15" fillId="0" borderId="1" xfId="0" applyNumberFormat="1" applyFont="1" applyBorder="1" applyAlignment="1">
      <alignment horizontal="center" vertical="center" wrapText="1"/>
    </xf>
    <xf numFmtId="4" fontId="33" fillId="0" borderId="1" xfId="2" applyNumberFormat="1" applyFont="1" applyFill="1" applyBorder="1" applyAlignment="1">
      <alignment horizontal="left" vertical="center" wrapText="1"/>
    </xf>
    <xf numFmtId="1" fontId="33" fillId="0" borderId="1" xfId="0" applyNumberFormat="1" applyFont="1" applyBorder="1" applyAlignment="1">
      <alignment horizontal="center" vertical="center"/>
    </xf>
    <xf numFmtId="3" fontId="15" fillId="0" borderId="1" xfId="0" applyNumberFormat="1" applyFont="1" applyFill="1" applyBorder="1" applyAlignment="1">
      <alignment horizontal="center" vertical="center"/>
    </xf>
    <xf numFmtId="3" fontId="15" fillId="0" borderId="1" xfId="0" applyNumberFormat="1" applyFont="1" applyBorder="1" applyAlignment="1">
      <alignment horizontal="center" vertical="center"/>
    </xf>
    <xf numFmtId="49" fontId="41" fillId="0" borderId="1" xfId="0" applyNumberFormat="1" applyFont="1" applyFill="1" applyBorder="1" applyAlignment="1">
      <alignment horizontal="center" vertical="center"/>
    </xf>
    <xf numFmtId="4" fontId="41" fillId="0" borderId="1" xfId="2" applyNumberFormat="1" applyFont="1" applyFill="1" applyBorder="1" applyAlignment="1">
      <alignment horizontal="left" vertical="center" wrapText="1"/>
    </xf>
    <xf numFmtId="4" fontId="15" fillId="0" borderId="1" xfId="0" applyNumberFormat="1" applyFont="1" applyFill="1" applyBorder="1" applyAlignment="1">
      <alignment horizontal="left" vertical="center" wrapText="1"/>
    </xf>
    <xf numFmtId="49" fontId="42" fillId="0" borderId="1" xfId="2" applyNumberFormat="1" applyFont="1" applyFill="1" applyBorder="1" applyAlignment="1">
      <alignment horizontal="center" vertical="center" wrapText="1"/>
    </xf>
    <xf numFmtId="4" fontId="16" fillId="0" borderId="1" xfId="2" applyNumberFormat="1" applyFont="1" applyFill="1" applyBorder="1" applyAlignment="1">
      <alignment horizontal="center" vertical="center" wrapText="1"/>
    </xf>
    <xf numFmtId="1" fontId="41" fillId="0" borderId="1" xfId="0" applyNumberFormat="1" applyFont="1" applyBorder="1" applyAlignment="1">
      <alignment horizontal="center" vertical="center" wrapText="1"/>
    </xf>
    <xf numFmtId="1" fontId="33" fillId="0" borderId="1" xfId="0" applyNumberFormat="1" applyFont="1" applyFill="1" applyBorder="1" applyAlignment="1">
      <alignment horizontal="center" vertical="center" wrapText="1"/>
    </xf>
    <xf numFmtId="49" fontId="45" fillId="0" borderId="1" xfId="2" applyNumberFormat="1" applyFont="1" applyFill="1" applyBorder="1" applyAlignment="1">
      <alignment horizontal="center" vertical="center" wrapText="1"/>
    </xf>
    <xf numFmtId="4" fontId="5" fillId="0" borderId="1" xfId="0" applyNumberFormat="1" applyFont="1" applyFill="1" applyBorder="1" applyAlignment="1">
      <alignment horizontal="left" vertical="center" wrapText="1"/>
    </xf>
    <xf numFmtId="4" fontId="33" fillId="0" borderId="1" xfId="0" applyNumberFormat="1" applyFont="1" applyFill="1" applyBorder="1" applyAlignment="1">
      <alignment horizontal="center" vertical="center"/>
    </xf>
    <xf numFmtId="49" fontId="25" fillId="0" borderId="1" xfId="0" applyNumberFormat="1" applyFont="1" applyBorder="1" applyAlignment="1">
      <alignment horizontal="center" vertical="center"/>
    </xf>
    <xf numFmtId="3" fontId="23" fillId="0" borderId="1" xfId="0" applyNumberFormat="1" applyFont="1" applyBorder="1" applyAlignment="1">
      <alignment horizontal="center" vertical="center"/>
    </xf>
    <xf numFmtId="4" fontId="23" fillId="0" borderId="1" xfId="0" applyNumberFormat="1" applyFont="1" applyFill="1" applyBorder="1" applyAlignment="1">
      <alignment horizontal="center" vertical="center"/>
    </xf>
    <xf numFmtId="3" fontId="42" fillId="0" borderId="1" xfId="0" applyNumberFormat="1" applyFont="1" applyBorder="1" applyAlignment="1">
      <alignment horizontal="center" vertical="center" wrapText="1"/>
    </xf>
    <xf numFmtId="3" fontId="23" fillId="0" borderId="1" xfId="0" applyNumberFormat="1" applyFont="1" applyBorder="1" applyAlignment="1">
      <alignment horizontal="center" vertical="center" wrapText="1"/>
    </xf>
    <xf numFmtId="0" fontId="33" fillId="0" borderId="1" xfId="2" applyFont="1" applyFill="1" applyBorder="1" applyAlignment="1">
      <alignment horizontal="left" vertical="center" wrapText="1"/>
    </xf>
    <xf numFmtId="3" fontId="17" fillId="0" borderId="1" xfId="0" applyNumberFormat="1" applyFont="1" applyBorder="1" applyAlignment="1">
      <alignment horizontal="center" vertical="center" wrapText="1"/>
    </xf>
    <xf numFmtId="1" fontId="25" fillId="0" borderId="1" xfId="0" applyNumberFormat="1" applyFont="1" applyFill="1" applyBorder="1" applyAlignment="1">
      <alignment horizontal="center" vertical="center" wrapText="1"/>
    </xf>
    <xf numFmtId="4" fontId="27" fillId="0" borderId="1" xfId="0" applyNumberFormat="1" applyFont="1" applyBorder="1" applyAlignment="1">
      <alignment horizontal="center" vertical="center"/>
    </xf>
    <xf numFmtId="4" fontId="27" fillId="0" borderId="1" xfId="0" applyNumberFormat="1" applyFont="1" applyFill="1" applyBorder="1" applyAlignment="1">
      <alignment horizontal="center" vertical="center"/>
    </xf>
    <xf numFmtId="4" fontId="23" fillId="0" borderId="1" xfId="0" applyNumberFormat="1" applyFont="1" applyBorder="1" applyAlignment="1">
      <alignment horizontal="center" vertical="center" wrapText="1"/>
    </xf>
    <xf numFmtId="3" fontId="26" fillId="0" borderId="2" xfId="0" applyNumberFormat="1" applyFont="1" applyBorder="1" applyAlignment="1">
      <alignment horizontal="center" vertical="center"/>
    </xf>
    <xf numFmtId="4" fontId="26" fillId="0" borderId="1" xfId="0" applyNumberFormat="1" applyFont="1" applyFill="1" applyBorder="1" applyAlignment="1">
      <alignment horizontal="left" vertical="center" wrapText="1"/>
    </xf>
    <xf numFmtId="49" fontId="45" fillId="0" borderId="1" xfId="2" applyNumberFormat="1" applyFont="1" applyFill="1" applyBorder="1" applyAlignment="1">
      <alignment horizontal="center" vertical="center"/>
    </xf>
    <xf numFmtId="4" fontId="25" fillId="6" borderId="1" xfId="0" applyNumberFormat="1" applyFont="1" applyFill="1" applyBorder="1" applyAlignment="1">
      <alignment horizontal="center" vertical="top"/>
    </xf>
    <xf numFmtId="4" fontId="25" fillId="0" borderId="1" xfId="0" applyNumberFormat="1" applyFont="1" applyFill="1" applyBorder="1" applyAlignment="1">
      <alignment horizontal="left" vertical="center" wrapText="1"/>
    </xf>
    <xf numFmtId="4" fontId="25" fillId="0" borderId="1" xfId="0" applyNumberFormat="1" applyFont="1" applyFill="1" applyBorder="1" applyAlignment="1">
      <alignment vertical="center" wrapText="1"/>
    </xf>
    <xf numFmtId="49" fontId="33" fillId="0" borderId="1" xfId="0" applyNumberFormat="1" applyFont="1" applyFill="1" applyBorder="1" applyAlignment="1">
      <alignment horizontal="center" vertical="center"/>
    </xf>
    <xf numFmtId="4" fontId="33" fillId="0" borderId="1" xfId="0" applyNumberFormat="1" applyFont="1" applyFill="1" applyBorder="1" applyAlignment="1">
      <alignment vertical="center" wrapText="1"/>
    </xf>
    <xf numFmtId="4" fontId="16" fillId="0" borderId="1" xfId="2" applyNumberFormat="1" applyFont="1" applyFill="1" applyBorder="1" applyAlignment="1">
      <alignment horizontal="center" vertical="center"/>
    </xf>
    <xf numFmtId="49" fontId="25" fillId="0" borderId="1" xfId="0" applyNumberFormat="1" applyFont="1" applyFill="1" applyBorder="1" applyAlignment="1">
      <alignment horizontal="center" vertical="center"/>
    </xf>
    <xf numFmtId="49" fontId="26" fillId="0" borderId="1" xfId="0" applyNumberFormat="1" applyFont="1" applyBorder="1" applyAlignment="1">
      <alignment horizontal="center" vertical="center"/>
    </xf>
    <xf numFmtId="4" fontId="26" fillId="0" borderId="1" xfId="0" applyNumberFormat="1" applyFont="1" applyFill="1" applyBorder="1" applyAlignment="1">
      <alignment vertical="center" wrapText="1"/>
    </xf>
    <xf numFmtId="1" fontId="26" fillId="0" borderId="1" xfId="0" applyNumberFormat="1" applyFont="1" applyBorder="1" applyAlignment="1">
      <alignment horizontal="center" vertical="center" wrapText="1"/>
    </xf>
    <xf numFmtId="49" fontId="37" fillId="0" borderId="1" xfId="0" applyNumberFormat="1" applyFont="1" applyBorder="1" applyAlignment="1">
      <alignment horizontal="center" vertical="center"/>
    </xf>
    <xf numFmtId="0" fontId="5" fillId="0" borderId="1" xfId="0" applyFont="1" applyFill="1" applyBorder="1" applyAlignment="1">
      <alignment horizontal="left" vertical="center" wrapText="1"/>
    </xf>
    <xf numFmtId="4" fontId="26" fillId="0" borderId="2" xfId="0" applyNumberFormat="1" applyFont="1" applyBorder="1" applyAlignment="1">
      <alignment horizontal="center" vertical="center"/>
    </xf>
    <xf numFmtId="0" fontId="33" fillId="0" borderId="1" xfId="0" applyFont="1" applyFill="1" applyBorder="1" applyAlignment="1">
      <alignment horizontal="left" vertical="center" wrapText="1"/>
    </xf>
    <xf numFmtId="4" fontId="15" fillId="0" borderId="2" xfId="0" applyNumberFormat="1" applyFont="1" applyFill="1" applyBorder="1" applyAlignment="1">
      <alignment horizontal="center" vertical="center" wrapText="1"/>
    </xf>
    <xf numFmtId="4" fontId="26" fillId="6" borderId="1" xfId="0" applyNumberFormat="1" applyFont="1" applyFill="1" applyBorder="1" applyAlignment="1">
      <alignment horizontal="center" vertical="top"/>
    </xf>
    <xf numFmtId="4" fontId="26" fillId="6" borderId="1" xfId="3" applyNumberFormat="1" applyFont="1" applyFill="1" applyBorder="1" applyAlignment="1">
      <alignment horizontal="left" vertical="center" wrapText="1"/>
    </xf>
    <xf numFmtId="4" fontId="16" fillId="6" borderId="1" xfId="0" applyNumberFormat="1" applyFont="1" applyFill="1" applyBorder="1" applyAlignment="1">
      <alignment horizontal="center" vertical="center"/>
    </xf>
    <xf numFmtId="49" fontId="25" fillId="0" borderId="1" xfId="0" applyNumberFormat="1" applyFont="1" applyBorder="1" applyAlignment="1">
      <alignment horizontal="center" vertical="center" wrapText="1"/>
    </xf>
    <xf numFmtId="4" fontId="25" fillId="0" borderId="1" xfId="0" applyNumberFormat="1" applyFont="1" applyFill="1" applyBorder="1" applyAlignment="1">
      <alignment horizontal="center" vertical="center"/>
    </xf>
    <xf numFmtId="49" fontId="26" fillId="6" borderId="1" xfId="0" applyNumberFormat="1" applyFont="1" applyFill="1" applyBorder="1" applyAlignment="1">
      <alignment horizontal="center" vertical="top"/>
    </xf>
    <xf numFmtId="4" fontId="28" fillId="6" borderId="1" xfId="0" applyNumberFormat="1" applyFont="1" applyFill="1" applyBorder="1" applyAlignment="1">
      <alignment horizontal="left" vertical="center" wrapText="1"/>
    </xf>
    <xf numFmtId="4" fontId="41" fillId="6" borderId="1" xfId="0" applyNumberFormat="1" applyFont="1" applyFill="1" applyBorder="1" applyAlignment="1">
      <alignment horizontal="center" vertical="center"/>
    </xf>
    <xf numFmtId="0" fontId="41" fillId="0" borderId="1" xfId="0" applyFont="1" applyFill="1" applyBorder="1" applyAlignment="1">
      <alignment horizontal="left" vertical="center" wrapText="1"/>
    </xf>
    <xf numFmtId="49" fontId="26" fillId="0" borderId="1" xfId="0" applyNumberFormat="1" applyFont="1" applyFill="1" applyBorder="1" applyAlignment="1">
      <alignment horizontal="center" vertical="center"/>
    </xf>
    <xf numFmtId="4" fontId="27" fillId="0" borderId="1" xfId="0" applyNumberFormat="1" applyFont="1" applyBorder="1" applyAlignment="1">
      <alignment horizontal="center" vertical="center" wrapText="1"/>
    </xf>
    <xf numFmtId="4" fontId="25" fillId="0" borderId="1" xfId="0" applyNumberFormat="1" applyFont="1" applyBorder="1" applyAlignment="1">
      <alignment horizontal="center" vertical="top"/>
    </xf>
    <xf numFmtId="4" fontId="26" fillId="0" borderId="1" xfId="0" applyNumberFormat="1" applyFont="1" applyBorder="1" applyAlignment="1">
      <alignment horizontal="center" vertical="center"/>
    </xf>
    <xf numFmtId="4" fontId="26" fillId="8" borderId="1" xfId="0" applyNumberFormat="1" applyFont="1" applyFill="1" applyBorder="1" applyAlignment="1">
      <alignment vertical="center" wrapText="1"/>
    </xf>
    <xf numFmtId="4" fontId="25" fillId="2" borderId="1" xfId="0" applyNumberFormat="1" applyFont="1" applyFill="1" applyBorder="1" applyAlignment="1">
      <alignment horizontal="center" vertical="center"/>
    </xf>
    <xf numFmtId="4" fontId="25" fillId="2" borderId="1" xfId="4" applyNumberFormat="1" applyFont="1" applyFill="1" applyBorder="1" applyAlignment="1">
      <alignment horizontal="center" vertical="center" wrapText="1"/>
    </xf>
    <xf numFmtId="1" fontId="25" fillId="2" borderId="1" xfId="0" applyNumberFormat="1" applyFont="1" applyFill="1" applyBorder="1" applyAlignment="1">
      <alignment horizontal="center" vertical="center"/>
    </xf>
    <xf numFmtId="4" fontId="37" fillId="0" borderId="1" xfId="0" applyNumberFormat="1" applyFont="1" applyFill="1" applyBorder="1" applyAlignment="1">
      <alignment vertical="center" wrapText="1"/>
    </xf>
    <xf numFmtId="1" fontId="25" fillId="0" borderId="1" xfId="0" applyNumberFormat="1" applyFont="1" applyBorder="1" applyAlignment="1">
      <alignment horizontal="center" vertical="center"/>
    </xf>
    <xf numFmtId="49" fontId="41" fillId="0" borderId="3" xfId="0" applyNumberFormat="1" applyFont="1" applyBorder="1" applyAlignment="1">
      <alignment horizontal="center" vertical="center"/>
    </xf>
    <xf numFmtId="4" fontId="33" fillId="0" borderId="1" xfId="0" applyNumberFormat="1" applyFont="1" applyFill="1" applyBorder="1" applyAlignment="1">
      <alignment horizontal="left" vertical="center" wrapText="1"/>
    </xf>
    <xf numFmtId="4" fontId="41" fillId="6" borderId="1" xfId="0" applyNumberFormat="1" applyFont="1" applyFill="1" applyBorder="1" applyAlignment="1">
      <alignment horizontal="center" vertical="top"/>
    </xf>
    <xf numFmtId="4" fontId="41" fillId="6" borderId="1" xfId="0" applyNumberFormat="1" applyFont="1" applyFill="1" applyBorder="1" applyAlignment="1">
      <alignment horizontal="left" vertical="center" wrapText="1"/>
    </xf>
    <xf numFmtId="1" fontId="41" fillId="6" borderId="1" xfId="0" applyNumberFormat="1" applyFont="1" applyFill="1" applyBorder="1" applyAlignment="1">
      <alignment horizontal="center" vertical="center" wrapText="1"/>
    </xf>
    <xf numFmtId="4" fontId="20" fillId="0" borderId="1" xfId="0" applyNumberFormat="1" applyFont="1" applyBorder="1"/>
    <xf numFmtId="4" fontId="25" fillId="0" borderId="1" xfId="0" applyNumberFormat="1" applyFont="1" applyBorder="1" applyAlignment="1">
      <alignment horizontal="center" vertical="center" wrapText="1"/>
    </xf>
    <xf numFmtId="4" fontId="41" fillId="6" borderId="1" xfId="0" applyNumberFormat="1" applyFont="1" applyFill="1" applyBorder="1" applyAlignment="1">
      <alignment vertical="center"/>
    </xf>
    <xf numFmtId="4" fontId="41" fillId="6" borderId="1" xfId="0" applyNumberFormat="1" applyFont="1" applyFill="1" applyBorder="1" applyAlignment="1">
      <alignment vertical="center" wrapText="1"/>
    </xf>
    <xf numFmtId="4" fontId="20" fillId="0" borderId="0" xfId="0" applyNumberFormat="1" applyFont="1" applyBorder="1" applyAlignment="1">
      <alignment vertical="center"/>
    </xf>
    <xf numFmtId="4" fontId="20" fillId="0" borderId="1" xfId="0" applyNumberFormat="1" applyFont="1" applyBorder="1" applyAlignment="1">
      <alignment vertical="center"/>
    </xf>
    <xf numFmtId="0" fontId="41" fillId="0" borderId="1" xfId="0" applyNumberFormat="1" applyFont="1" applyFill="1" applyBorder="1" applyAlignment="1">
      <alignment vertical="center"/>
    </xf>
    <xf numFmtId="4" fontId="41" fillId="0" borderId="0" xfId="0" applyNumberFormat="1" applyFont="1" applyFill="1" applyBorder="1" applyAlignment="1">
      <alignment horizontal="center" vertical="top"/>
    </xf>
    <xf numFmtId="4" fontId="41" fillId="0" borderId="0" xfId="0" applyNumberFormat="1" applyFont="1" applyFill="1" applyBorder="1" applyAlignment="1">
      <alignment horizontal="center" vertical="center"/>
    </xf>
    <xf numFmtId="4" fontId="41" fillId="0" borderId="0" xfId="0" applyNumberFormat="1" applyFont="1" applyFill="1" applyBorder="1" applyAlignment="1">
      <alignment horizontal="left" vertical="center" wrapText="1"/>
    </xf>
    <xf numFmtId="1" fontId="41" fillId="0" borderId="0" xfId="0" applyNumberFormat="1" applyFont="1" applyFill="1" applyBorder="1" applyAlignment="1">
      <alignment horizontal="center" vertical="center" wrapText="1"/>
    </xf>
    <xf numFmtId="4" fontId="25" fillId="9" borderId="1" xfId="0" applyNumberFormat="1" applyFont="1" applyFill="1" applyBorder="1" applyAlignment="1">
      <alignment vertical="top"/>
    </xf>
    <xf numFmtId="4" fontId="25" fillId="9" borderId="1" xfId="0" applyNumberFormat="1" applyFont="1" applyFill="1" applyBorder="1" applyAlignment="1">
      <alignment horizontal="center" vertical="center"/>
    </xf>
    <xf numFmtId="4" fontId="28" fillId="9" borderId="1" xfId="0" applyNumberFormat="1" applyFont="1" applyFill="1" applyBorder="1" applyAlignment="1">
      <alignment horizontal="center" vertical="center" wrapText="1"/>
    </xf>
    <xf numFmtId="1" fontId="26" fillId="9" borderId="1" xfId="0" applyNumberFormat="1" applyFont="1" applyFill="1" applyBorder="1" applyAlignment="1">
      <alignment horizontal="center" vertical="center" wrapText="1"/>
    </xf>
    <xf numFmtId="4" fontId="26" fillId="9" borderId="1" xfId="0" applyNumberFormat="1" applyFont="1" applyFill="1" applyBorder="1" applyAlignment="1">
      <alignment horizontal="center" vertical="center" wrapText="1"/>
    </xf>
    <xf numFmtId="4" fontId="25" fillId="0" borderId="0" xfId="0" applyNumberFormat="1" applyFont="1" applyFill="1" applyBorder="1" applyAlignment="1">
      <alignment horizontal="center" vertical="center"/>
    </xf>
    <xf numFmtId="4" fontId="25" fillId="0" borderId="1" xfId="0" applyNumberFormat="1" applyFont="1" applyFill="1" applyBorder="1" applyAlignment="1">
      <alignment vertical="top"/>
    </xf>
    <xf numFmtId="4" fontId="25" fillId="0" borderId="1" xfId="0" applyNumberFormat="1" applyFont="1" applyFill="1" applyBorder="1" applyAlignment="1">
      <alignment horizontal="center" vertical="center" wrapText="1"/>
    </xf>
    <xf numFmtId="1" fontId="26" fillId="0" borderId="1" xfId="0" applyNumberFormat="1" applyFont="1" applyFill="1" applyBorder="1" applyAlignment="1">
      <alignment horizontal="center" vertical="center"/>
    </xf>
    <xf numFmtId="4" fontId="26" fillId="0" borderId="1" xfId="0" applyNumberFormat="1" applyFont="1" applyFill="1" applyBorder="1" applyAlignment="1">
      <alignment horizontal="center" vertical="center"/>
    </xf>
    <xf numFmtId="4" fontId="28" fillId="0" borderId="1" xfId="0" applyNumberFormat="1" applyFont="1" applyFill="1" applyBorder="1" applyAlignment="1">
      <alignment horizontal="left" vertical="center" wrapText="1"/>
    </xf>
    <xf numFmtId="4" fontId="26" fillId="0" borderId="1" xfId="0" applyNumberFormat="1" applyFont="1" applyFill="1" applyBorder="1" applyAlignment="1">
      <alignment horizontal="center" vertical="center" wrapText="1"/>
    </xf>
    <xf numFmtId="4" fontId="25" fillId="0" borderId="1" xfId="0" applyNumberFormat="1" applyFont="1" applyBorder="1" applyAlignment="1">
      <alignment vertical="center" wrapText="1"/>
    </xf>
    <xf numFmtId="4" fontId="43" fillId="0" borderId="1" xfId="0" applyNumberFormat="1" applyFont="1" applyFill="1" applyBorder="1" applyAlignment="1">
      <alignment vertical="center"/>
    </xf>
    <xf numFmtId="4" fontId="41" fillId="10" borderId="1" xfId="2" applyNumberFormat="1" applyFont="1" applyFill="1" applyBorder="1" applyAlignment="1">
      <alignment horizontal="left" vertical="center" wrapText="1"/>
    </xf>
    <xf numFmtId="4" fontId="5" fillId="0" borderId="1" xfId="2" applyNumberFormat="1" applyFont="1" applyFill="1" applyBorder="1" applyAlignment="1">
      <alignment horizontal="left" vertical="center" wrapText="1"/>
    </xf>
    <xf numFmtId="4" fontId="41" fillId="6" borderId="1" xfId="2" applyNumberFormat="1" applyFont="1" applyFill="1" applyBorder="1" applyAlignment="1">
      <alignment horizontal="left" vertical="center" wrapText="1"/>
    </xf>
    <xf numFmtId="4" fontId="33" fillId="6" borderId="1" xfId="2" applyNumberFormat="1" applyFont="1" applyFill="1" applyBorder="1" applyAlignment="1">
      <alignment horizontal="left" vertical="center" wrapText="1"/>
    </xf>
    <xf numFmtId="4" fontId="20" fillId="0" borderId="0" xfId="0" applyNumberFormat="1" applyFont="1" applyBorder="1" applyAlignment="1">
      <alignment vertical="top"/>
    </xf>
    <xf numFmtId="4" fontId="20" fillId="0" borderId="0" xfId="0" applyNumberFormat="1" applyFont="1" applyAlignment="1">
      <alignment vertical="top"/>
    </xf>
    <xf numFmtId="4" fontId="33" fillId="4" borderId="1" xfId="5" applyNumberFormat="1" applyFont="1" applyFill="1" applyBorder="1" applyAlignment="1">
      <alignment horizontal="left" vertical="center" wrapText="1"/>
    </xf>
    <xf numFmtId="4" fontId="33" fillId="4" borderId="1" xfId="2" applyNumberFormat="1" applyFont="1" applyFill="1" applyBorder="1" applyAlignment="1">
      <alignment horizontal="left" vertical="center" wrapText="1"/>
    </xf>
    <xf numFmtId="4" fontId="25" fillId="0" borderId="1" xfId="0" applyNumberFormat="1" applyFont="1" applyBorder="1" applyAlignment="1">
      <alignment vertical="top"/>
    </xf>
    <xf numFmtId="4" fontId="26" fillId="6" borderId="1" xfId="0" applyNumberFormat="1" applyFont="1" applyFill="1" applyBorder="1" applyAlignment="1">
      <alignment vertical="center"/>
    </xf>
    <xf numFmtId="4" fontId="26" fillId="0" borderId="1" xfId="0" applyNumberFormat="1" applyFont="1" applyBorder="1" applyAlignment="1">
      <alignment vertical="center" wrapText="1"/>
    </xf>
    <xf numFmtId="1" fontId="26" fillId="0" borderId="1" xfId="0" applyNumberFormat="1" applyFont="1" applyBorder="1" applyAlignment="1">
      <alignment horizontal="center" vertical="center"/>
    </xf>
    <xf numFmtId="49" fontId="37" fillId="0" borderId="1" xfId="0" applyNumberFormat="1" applyFont="1" applyFill="1" applyBorder="1" applyAlignment="1">
      <alignment horizontal="center" vertical="center"/>
    </xf>
    <xf numFmtId="1" fontId="25" fillId="0" borderId="1" xfId="0" applyNumberFormat="1" applyFont="1" applyFill="1" applyBorder="1" applyAlignment="1">
      <alignment horizontal="center" vertical="center"/>
    </xf>
    <xf numFmtId="4" fontId="29" fillId="0" borderId="1" xfId="0" applyNumberFormat="1" applyFont="1" applyFill="1" applyBorder="1" applyAlignment="1">
      <alignment horizontal="center" vertical="center"/>
    </xf>
    <xf numFmtId="4" fontId="29" fillId="0" borderId="1" xfId="0" applyNumberFormat="1" applyFont="1" applyBorder="1" applyAlignment="1">
      <alignment horizontal="center" vertical="center"/>
    </xf>
    <xf numFmtId="4" fontId="47" fillId="0" borderId="0" xfId="0" applyNumberFormat="1" applyFont="1"/>
    <xf numFmtId="4" fontId="37" fillId="0" borderId="1" xfId="0" applyNumberFormat="1" applyFont="1" applyFill="1" applyBorder="1" applyAlignment="1">
      <alignment horizontal="center" vertical="center"/>
    </xf>
    <xf numFmtId="4" fontId="48" fillId="0" borderId="1" xfId="0" applyNumberFormat="1" applyFont="1" applyFill="1" applyBorder="1" applyAlignment="1">
      <alignment horizontal="center" vertical="center"/>
    </xf>
    <xf numFmtId="4" fontId="48" fillId="0" borderId="1" xfId="0" applyNumberFormat="1" applyFont="1" applyBorder="1" applyAlignment="1">
      <alignment horizontal="center" vertical="center"/>
    </xf>
    <xf numFmtId="4" fontId="28" fillId="0" borderId="1" xfId="0" applyNumberFormat="1" applyFont="1" applyFill="1" applyBorder="1" applyAlignment="1">
      <alignment vertical="center" wrapText="1"/>
    </xf>
    <xf numFmtId="4" fontId="23" fillId="0" borderId="1" xfId="0" applyNumberFormat="1" applyFont="1" applyFill="1" applyBorder="1" applyAlignment="1">
      <alignment horizontal="center" vertical="center" wrapText="1"/>
    </xf>
    <xf numFmtId="4" fontId="20" fillId="0" borderId="0" xfId="0" quotePrefix="1" applyNumberFormat="1" applyFont="1"/>
    <xf numFmtId="4" fontId="25" fillId="4" borderId="1" xfId="3" applyNumberFormat="1" applyFont="1" applyFill="1" applyBorder="1" applyAlignment="1">
      <alignment horizontal="left" vertical="center" wrapText="1"/>
    </xf>
    <xf numFmtId="4" fontId="25" fillId="4" borderId="1" xfId="3" applyNumberFormat="1" applyFont="1" applyFill="1" applyBorder="1" applyAlignment="1">
      <alignment vertical="center" wrapText="1"/>
    </xf>
    <xf numFmtId="0" fontId="25" fillId="0" borderId="1" xfId="0" applyFont="1" applyFill="1" applyBorder="1" applyAlignment="1">
      <alignment vertical="center" wrapText="1"/>
    </xf>
    <xf numFmtId="4" fontId="26" fillId="0" borderId="4" xfId="0" applyNumberFormat="1" applyFont="1" applyBorder="1" applyAlignment="1">
      <alignment horizontal="center" vertical="center"/>
    </xf>
    <xf numFmtId="4" fontId="25" fillId="0" borderId="1" xfId="3" applyNumberFormat="1" applyFont="1" applyFill="1" applyBorder="1" applyAlignment="1">
      <alignment vertical="center" wrapText="1"/>
    </xf>
    <xf numFmtId="4" fontId="26" fillId="0" borderId="2" xfId="0" applyNumberFormat="1" applyFont="1" applyBorder="1" applyAlignment="1">
      <alignment vertical="center"/>
    </xf>
    <xf numFmtId="4" fontId="37" fillId="0" borderId="1" xfId="0" applyNumberFormat="1" applyFont="1" applyBorder="1" applyAlignment="1">
      <alignment vertical="center" wrapText="1"/>
    </xf>
    <xf numFmtId="4" fontId="37" fillId="0" borderId="1" xfId="0" applyNumberFormat="1" applyFont="1" applyBorder="1" applyAlignment="1">
      <alignment horizontal="center" vertical="center"/>
    </xf>
    <xf numFmtId="4" fontId="26" fillId="0" borderId="1" xfId="2" applyNumberFormat="1" applyFont="1" applyFill="1" applyBorder="1" applyAlignment="1">
      <alignment horizontal="center" vertical="center" wrapText="1"/>
    </xf>
    <xf numFmtId="49" fontId="41" fillId="0" borderId="2" xfId="0" applyNumberFormat="1" applyFont="1" applyFill="1" applyBorder="1" applyAlignment="1">
      <alignment horizontal="center" vertical="center"/>
    </xf>
    <xf numFmtId="4" fontId="20" fillId="0" borderId="0" xfId="0" applyNumberFormat="1" applyFont="1" applyBorder="1" applyAlignment="1">
      <alignment horizontal="center" vertical="center"/>
    </xf>
    <xf numFmtId="1" fontId="20" fillId="0" borderId="0" xfId="0" applyNumberFormat="1" applyFont="1" applyBorder="1" applyAlignment="1">
      <alignment horizontal="center" vertical="center"/>
    </xf>
    <xf numFmtId="4" fontId="19" fillId="0" borderId="0" xfId="0" applyNumberFormat="1" applyFont="1" applyBorder="1" applyAlignment="1">
      <alignment vertical="center" wrapText="1"/>
    </xf>
    <xf numFmtId="4" fontId="19" fillId="0" borderId="0" xfId="0" applyNumberFormat="1" applyFont="1" applyBorder="1" applyAlignment="1">
      <alignment horizontal="center" vertical="center"/>
    </xf>
    <xf numFmtId="4" fontId="38" fillId="0" borderId="0" xfId="0" applyNumberFormat="1" applyFont="1" applyBorder="1" applyAlignment="1">
      <alignment vertical="center"/>
    </xf>
    <xf numFmtId="4" fontId="50" fillId="0" borderId="0" xfId="0" applyNumberFormat="1" applyFont="1" applyBorder="1" applyAlignment="1">
      <alignment vertical="center"/>
    </xf>
    <xf numFmtId="49" fontId="23" fillId="0" borderId="1" xfId="0" applyNumberFormat="1" applyFont="1" applyBorder="1" applyAlignment="1">
      <alignment horizontal="center" vertical="center"/>
    </xf>
    <xf numFmtId="4" fontId="20" fillId="0" borderId="1" xfId="0" applyNumberFormat="1" applyFont="1" applyBorder="1" applyAlignment="1">
      <alignment horizontal="center" vertical="center"/>
    </xf>
    <xf numFmtId="4" fontId="23" fillId="0" borderId="1" xfId="0" applyNumberFormat="1" applyFont="1" applyBorder="1" applyAlignment="1">
      <alignment horizontal="center"/>
    </xf>
    <xf numFmtId="4" fontId="26" fillId="5" borderId="1" xfId="2" applyNumberFormat="1" applyFont="1" applyFill="1" applyBorder="1" applyAlignment="1">
      <alignment horizontal="center" vertical="center"/>
    </xf>
    <xf numFmtId="4" fontId="27" fillId="0" borderId="1" xfId="0" applyNumberFormat="1" applyFont="1" applyBorder="1" applyAlignment="1">
      <alignment vertical="center"/>
    </xf>
    <xf numFmtId="49" fontId="27" fillId="0" borderId="1" xfId="0" applyNumberFormat="1" applyFont="1" applyBorder="1" applyAlignment="1">
      <alignment horizontal="center" vertical="center"/>
    </xf>
    <xf numFmtId="4" fontId="23" fillId="0" borderId="2" xfId="0" applyNumberFormat="1" applyFont="1" applyBorder="1" applyAlignment="1">
      <alignment horizontal="center" vertical="center"/>
    </xf>
    <xf numFmtId="49" fontId="23" fillId="0" borderId="3" xfId="0" applyNumberFormat="1" applyFont="1" applyBorder="1" applyAlignment="1">
      <alignment horizontal="center" vertical="center"/>
    </xf>
    <xf numFmtId="4" fontId="23" fillId="0" borderId="3" xfId="0" applyNumberFormat="1" applyFont="1" applyBorder="1" applyAlignment="1">
      <alignment horizontal="center" vertical="center"/>
    </xf>
    <xf numFmtId="4" fontId="23" fillId="0" borderId="14" xfId="0" applyNumberFormat="1" applyFont="1" applyBorder="1" applyAlignment="1">
      <alignment horizontal="center" vertical="center"/>
    </xf>
    <xf numFmtId="4" fontId="23" fillId="0" borderId="16" xfId="0" applyNumberFormat="1" applyFont="1" applyBorder="1" applyAlignment="1">
      <alignment horizontal="center" vertical="center"/>
    </xf>
    <xf numFmtId="49" fontId="27" fillId="0" borderId="20" xfId="0" applyNumberFormat="1" applyFont="1" applyBorder="1" applyAlignment="1">
      <alignment horizontal="center" vertical="center"/>
    </xf>
    <xf numFmtId="4" fontId="27" fillId="0" borderId="2" xfId="0" applyNumberFormat="1" applyFont="1" applyBorder="1" applyAlignment="1">
      <alignment horizontal="center" vertical="center"/>
    </xf>
    <xf numFmtId="4" fontId="27" fillId="0" borderId="0" xfId="0" applyNumberFormat="1" applyFont="1" applyBorder="1" applyAlignment="1">
      <alignment vertical="center"/>
    </xf>
    <xf numFmtId="4" fontId="20" fillId="0" borderId="3" xfId="0" applyNumberFormat="1" applyFont="1" applyBorder="1" applyAlignment="1">
      <alignment horizontal="center" vertical="center"/>
    </xf>
    <xf numFmtId="49" fontId="27" fillId="0" borderId="3" xfId="0" applyNumberFormat="1" applyFont="1" applyBorder="1" applyAlignment="1">
      <alignment horizontal="center" vertical="center"/>
    </xf>
    <xf numFmtId="4" fontId="23" fillId="5" borderId="1" xfId="0" applyNumberFormat="1" applyFont="1" applyFill="1" applyBorder="1" applyAlignment="1">
      <alignment horizontal="center" vertical="center"/>
    </xf>
    <xf numFmtId="4" fontId="23" fillId="2" borderId="17" xfId="0" applyNumberFormat="1" applyFont="1" applyFill="1" applyBorder="1" applyAlignment="1">
      <alignment horizontal="center" vertical="center"/>
    </xf>
    <xf numFmtId="4" fontId="20" fillId="2" borderId="18" xfId="0" applyNumberFormat="1" applyFont="1" applyFill="1" applyBorder="1" applyAlignment="1">
      <alignment horizontal="center" vertical="center"/>
    </xf>
    <xf numFmtId="4" fontId="23" fillId="2" borderId="19" xfId="0" applyNumberFormat="1" applyFont="1" applyFill="1" applyBorder="1" applyAlignment="1">
      <alignment horizontal="center" vertical="center"/>
    </xf>
    <xf numFmtId="4" fontId="23" fillId="2" borderId="22" xfId="0" applyNumberFormat="1" applyFont="1" applyFill="1" applyBorder="1" applyAlignment="1">
      <alignment horizontal="center" vertical="center"/>
    </xf>
    <xf numFmtId="4" fontId="23" fillId="2" borderId="23" xfId="0" applyNumberFormat="1" applyFont="1" applyFill="1" applyBorder="1" applyAlignment="1">
      <alignment horizontal="center" vertical="center"/>
    </xf>
    <xf numFmtId="4" fontId="23" fillId="2" borderId="13" xfId="0" applyNumberFormat="1" applyFont="1" applyFill="1" applyBorder="1" applyAlignment="1">
      <alignment horizontal="center" vertical="center"/>
    </xf>
    <xf numFmtId="4" fontId="23" fillId="2" borderId="15" xfId="0" applyNumberFormat="1" applyFont="1" applyFill="1" applyBorder="1" applyAlignment="1">
      <alignment horizontal="center" vertical="center"/>
    </xf>
    <xf numFmtId="4" fontId="23" fillId="0" borderId="12" xfId="0" applyNumberFormat="1" applyFont="1" applyBorder="1" applyAlignment="1">
      <alignment horizontal="center"/>
    </xf>
    <xf numFmtId="4" fontId="23" fillId="0" borderId="8" xfId="0" applyNumberFormat="1" applyFont="1" applyBorder="1" applyAlignment="1">
      <alignment horizontal="center" vertical="center"/>
    </xf>
    <xf numFmtId="4" fontId="23" fillId="0" borderId="7" xfId="0" applyNumberFormat="1" applyFont="1" applyBorder="1" applyAlignment="1">
      <alignment horizontal="center" vertical="center"/>
    </xf>
    <xf numFmtId="4" fontId="20" fillId="5" borderId="0" xfId="0" applyNumberFormat="1" applyFont="1" applyFill="1" applyBorder="1" applyAlignment="1">
      <alignment horizontal="center" vertical="center"/>
    </xf>
    <xf numFmtId="4" fontId="23" fillId="5" borderId="2" xfId="0" applyNumberFormat="1" applyFont="1" applyFill="1" applyBorder="1" applyAlignment="1">
      <alignment horizontal="center" vertical="center"/>
    </xf>
    <xf numFmtId="4" fontId="23" fillId="5" borderId="10" xfId="0" applyNumberFormat="1" applyFont="1" applyFill="1" applyBorder="1" applyAlignment="1">
      <alignment horizontal="center" vertical="center"/>
    </xf>
    <xf numFmtId="4" fontId="23" fillId="5" borderId="7" xfId="0" applyNumberFormat="1" applyFont="1" applyFill="1" applyBorder="1" applyAlignment="1">
      <alignment horizontal="center" vertical="center"/>
    </xf>
    <xf numFmtId="4" fontId="23" fillId="5" borderId="1" xfId="0" applyNumberFormat="1" applyFont="1" applyFill="1" applyBorder="1" applyAlignment="1">
      <alignment horizontal="center"/>
    </xf>
    <xf numFmtId="0" fontId="13" fillId="0" borderId="6" xfId="0" applyFont="1" applyBorder="1"/>
    <xf numFmtId="4" fontId="27" fillId="0" borderId="1" xfId="0" applyNumberFormat="1" applyFont="1" applyBorder="1" applyAlignment="1">
      <alignment horizontal="center" vertical="center"/>
    </xf>
    <xf numFmtId="4" fontId="23" fillId="0" borderId="7" xfId="0" applyNumberFormat="1" applyFont="1" applyBorder="1" applyAlignment="1">
      <alignment horizontal="center"/>
    </xf>
    <xf numFmtId="0" fontId="7" fillId="0" borderId="0" xfId="0" applyFont="1" applyBorder="1"/>
    <xf numFmtId="0" fontId="11" fillId="0" borderId="0" xfId="0" applyFont="1" applyAlignment="1">
      <alignment horizontal="left" vertical="top"/>
    </xf>
    <xf numFmtId="0" fontId="3" fillId="0" borderId="0" xfId="0" applyFont="1" applyAlignment="1">
      <alignment vertical="top"/>
    </xf>
    <xf numFmtId="0" fontId="7" fillId="0" borderId="0" xfId="0" applyFont="1" applyAlignment="1">
      <alignment vertical="top"/>
    </xf>
    <xf numFmtId="0" fontId="4" fillId="0" borderId="0" xfId="0" applyFont="1" applyAlignment="1">
      <alignment vertical="top"/>
    </xf>
    <xf numFmtId="4" fontId="7" fillId="0" borderId="0" xfId="0" applyNumberFormat="1" applyFont="1" applyAlignment="1">
      <alignment vertical="top"/>
    </xf>
    <xf numFmtId="0" fontId="10" fillId="0" borderId="0" xfId="0" applyFont="1" applyAlignment="1">
      <alignment horizontal="left" vertical="top"/>
    </xf>
    <xf numFmtId="0" fontId="8" fillId="0" borderId="0" xfId="0" applyFont="1" applyAlignment="1">
      <alignment vertical="top"/>
    </xf>
    <xf numFmtId="0" fontId="18" fillId="3" borderId="0" xfId="0" applyFont="1" applyFill="1" applyBorder="1" applyAlignment="1">
      <alignment horizontal="center" vertical="top" wrapText="1"/>
    </xf>
    <xf numFmtId="0" fontId="18" fillId="0" borderId="0" xfId="0" applyFont="1" applyBorder="1" applyAlignment="1">
      <alignment horizontal="center" vertical="top" wrapText="1"/>
    </xf>
    <xf numFmtId="0" fontId="11" fillId="0" borderId="0" xfId="0" applyFont="1" applyAlignment="1">
      <alignment horizontal="center" vertical="top"/>
    </xf>
    <xf numFmtId="0" fontId="3" fillId="0" borderId="0" xfId="0" applyFont="1" applyAlignment="1">
      <alignment horizontal="center" vertical="top"/>
    </xf>
    <xf numFmtId="0" fontId="7" fillId="0" borderId="0" xfId="0" applyFont="1" applyAlignment="1">
      <alignment horizontal="center" vertical="top"/>
    </xf>
    <xf numFmtId="0" fontId="1" fillId="0" borderId="0" xfId="0" applyFont="1" applyAlignment="1">
      <alignment vertical="top"/>
    </xf>
    <xf numFmtId="0" fontId="9" fillId="0" borderId="0" xfId="0" applyFont="1" applyAlignment="1">
      <alignment horizontal="left" vertical="top"/>
    </xf>
    <xf numFmtId="0" fontId="12" fillId="0" borderId="0" xfId="0" applyFont="1" applyAlignment="1">
      <alignment vertical="top"/>
    </xf>
    <xf numFmtId="0" fontId="54" fillId="0" borderId="0" xfId="0" applyFont="1" applyAlignment="1">
      <alignment horizontal="center"/>
    </xf>
    <xf numFmtId="0" fontId="55" fillId="4" borderId="0" xfId="0" applyFont="1" applyFill="1" applyAlignment="1">
      <alignment vertical="top"/>
    </xf>
    <xf numFmtId="0" fontId="55" fillId="4" borderId="0" xfId="0" applyFont="1" applyFill="1" applyAlignment="1">
      <alignment horizontal="center" vertical="top"/>
    </xf>
    <xf numFmtId="0" fontId="55" fillId="4" borderId="0" xfId="0" applyFont="1" applyFill="1"/>
    <xf numFmtId="0" fontId="56" fillId="4" borderId="0" xfId="0" applyFont="1" applyFill="1" applyAlignment="1">
      <alignment vertical="top" wrapText="1"/>
    </xf>
    <xf numFmtId="0" fontId="37" fillId="4" borderId="0" xfId="0" applyFont="1" applyFill="1" applyAlignment="1">
      <alignment vertical="top"/>
    </xf>
    <xf numFmtId="0" fontId="37" fillId="4" borderId="0" xfId="0" applyFont="1" applyFill="1" applyAlignment="1">
      <alignment horizontal="left" vertical="top" wrapText="1"/>
    </xf>
    <xf numFmtId="0" fontId="57" fillId="4" borderId="0" xfId="0" applyFont="1" applyFill="1" applyAlignment="1">
      <alignment vertical="top"/>
    </xf>
    <xf numFmtId="0" fontId="57" fillId="4" borderId="0" xfId="0" applyFont="1" applyFill="1" applyAlignment="1">
      <alignment horizontal="center" vertical="top"/>
    </xf>
    <xf numFmtId="0" fontId="57" fillId="4" borderId="0" xfId="0" applyFont="1" applyFill="1"/>
    <xf numFmtId="0" fontId="57" fillId="4" borderId="0" xfId="0" applyFont="1" applyFill="1" applyAlignment="1">
      <alignment horizontal="left" vertical="top"/>
    </xf>
    <xf numFmtId="0" fontId="53" fillId="4" borderId="0" xfId="0" applyFont="1" applyFill="1" applyBorder="1" applyAlignment="1">
      <alignment vertical="top" wrapText="1"/>
    </xf>
    <xf numFmtId="0" fontId="38" fillId="4" borderId="0" xfId="0" applyFont="1" applyFill="1" applyBorder="1" applyAlignment="1">
      <alignment vertical="top" wrapText="1"/>
    </xf>
    <xf numFmtId="0" fontId="53" fillId="4" borderId="0" xfId="0" applyFont="1" applyFill="1" applyBorder="1" applyAlignment="1">
      <alignment horizontal="center" vertical="top" wrapText="1"/>
    </xf>
    <xf numFmtId="4" fontId="53" fillId="4" borderId="0" xfId="0" applyNumberFormat="1" applyFont="1" applyFill="1" applyBorder="1" applyAlignment="1">
      <alignment horizontal="center" vertical="top" wrapText="1"/>
    </xf>
    <xf numFmtId="4" fontId="56" fillId="4" borderId="0" xfId="0" applyNumberFormat="1" applyFont="1" applyFill="1" applyBorder="1" applyAlignment="1">
      <alignment vertical="top" wrapText="1"/>
    </xf>
    <xf numFmtId="16" fontId="53" fillId="4" borderId="1" xfId="0" applyNumberFormat="1" applyFont="1" applyFill="1" applyBorder="1" applyAlignment="1">
      <alignment horizontal="center" vertical="top" wrapText="1"/>
    </xf>
    <xf numFmtId="2" fontId="53" fillId="4" borderId="1" xfId="0" applyNumberFormat="1" applyFont="1" applyFill="1" applyBorder="1" applyAlignment="1">
      <alignment horizontal="center" vertical="top" wrapText="1"/>
    </xf>
    <xf numFmtId="4" fontId="53" fillId="4" borderId="1" xfId="0" applyNumberFormat="1" applyFont="1" applyFill="1" applyBorder="1" applyAlignment="1">
      <alignment vertical="top" wrapText="1"/>
    </xf>
    <xf numFmtId="2" fontId="53" fillId="4" borderId="1" xfId="0" applyNumberFormat="1" applyFont="1" applyFill="1" applyBorder="1" applyAlignment="1">
      <alignment vertical="top" wrapText="1"/>
    </xf>
    <xf numFmtId="0" fontId="53" fillId="4" borderId="1" xfId="0" applyFont="1" applyFill="1" applyBorder="1" applyAlignment="1">
      <alignment vertical="top" wrapText="1"/>
    </xf>
    <xf numFmtId="0" fontId="53" fillId="4" borderId="2" xfId="0" applyFont="1" applyFill="1" applyBorder="1" applyAlignment="1">
      <alignment vertical="top" wrapText="1"/>
    </xf>
    <xf numFmtId="0" fontId="38" fillId="4" borderId="2" xfId="0" applyFont="1" applyFill="1" applyBorder="1" applyAlignment="1">
      <alignment vertical="top" wrapText="1"/>
    </xf>
    <xf numFmtId="0" fontId="53" fillId="4" borderId="2" xfId="1" applyFont="1" applyFill="1" applyBorder="1" applyAlignment="1">
      <alignment horizontal="center" vertical="top" wrapText="1"/>
    </xf>
    <xf numFmtId="0" fontId="38" fillId="4" borderId="1" xfId="0" applyFont="1" applyFill="1" applyBorder="1" applyAlignment="1">
      <alignment vertical="top" wrapText="1"/>
    </xf>
    <xf numFmtId="0" fontId="53" fillId="4" borderId="3" xfId="0" applyFont="1" applyFill="1" applyBorder="1" applyAlignment="1">
      <alignment vertical="top" wrapText="1"/>
    </xf>
    <xf numFmtId="49" fontId="61" fillId="4" borderId="1" xfId="0" applyNumberFormat="1" applyFont="1" applyFill="1" applyBorder="1" applyAlignment="1">
      <alignment horizontal="center" vertical="top" wrapText="1"/>
    </xf>
    <xf numFmtId="4" fontId="19" fillId="4" borderId="1" xfId="0" applyNumberFormat="1" applyFont="1" applyFill="1" applyBorder="1" applyAlignment="1">
      <alignment vertical="top" wrapText="1"/>
    </xf>
    <xf numFmtId="0" fontId="55" fillId="4" borderId="1" xfId="0" applyFont="1" applyFill="1" applyBorder="1" applyAlignment="1"/>
    <xf numFmtId="164" fontId="53" fillId="4" borderId="1" xfId="0" applyNumberFormat="1" applyFont="1" applyFill="1" applyBorder="1" applyAlignment="1">
      <alignment horizontal="center" vertical="top" wrapText="1"/>
    </xf>
    <xf numFmtId="0" fontId="55" fillId="4" borderId="1" xfId="0" applyFont="1" applyFill="1" applyBorder="1"/>
    <xf numFmtId="4" fontId="53" fillId="4" borderId="1" xfId="0" applyNumberFormat="1" applyFont="1" applyFill="1" applyBorder="1" applyAlignment="1">
      <alignment horizontal="center" vertical="top" wrapText="1"/>
    </xf>
    <xf numFmtId="0" fontId="38" fillId="4" borderId="1" xfId="0" applyFont="1" applyFill="1" applyBorder="1" applyAlignment="1">
      <alignment horizontal="center" vertical="top" wrapText="1"/>
    </xf>
    <xf numFmtId="0" fontId="53" fillId="4" borderId="1" xfId="0" applyFont="1" applyFill="1" applyBorder="1" applyAlignment="1">
      <alignment horizontal="center" vertical="top" wrapText="1"/>
    </xf>
    <xf numFmtId="0" fontId="53" fillId="4" borderId="2" xfId="0" applyFont="1" applyFill="1" applyBorder="1" applyAlignment="1">
      <alignment horizontal="center" vertical="top" wrapText="1"/>
    </xf>
    <xf numFmtId="0" fontId="60" fillId="4" borderId="1" xfId="0" applyFont="1" applyFill="1" applyBorder="1" applyAlignment="1">
      <alignment vertical="top" wrapText="1"/>
    </xf>
    <xf numFmtId="4" fontId="19" fillId="4" borderId="1" xfId="0" applyNumberFormat="1" applyFont="1" applyFill="1" applyBorder="1" applyAlignment="1">
      <alignment horizontal="center" vertical="top" wrapText="1"/>
    </xf>
    <xf numFmtId="49" fontId="53" fillId="4" borderId="1" xfId="0" applyNumberFormat="1" applyFont="1" applyFill="1" applyBorder="1" applyAlignment="1">
      <alignment horizontal="center" vertical="top" wrapText="1"/>
    </xf>
    <xf numFmtId="0" fontId="53" fillId="4" borderId="1" xfId="0" applyFont="1" applyFill="1" applyBorder="1" applyAlignment="1">
      <alignment horizontal="center" vertical="center" wrapText="1"/>
    </xf>
    <xf numFmtId="0" fontId="19" fillId="4" borderId="1" xfId="0" applyFont="1" applyFill="1" applyBorder="1" applyAlignment="1">
      <alignment horizontal="center" vertical="top" wrapText="1"/>
    </xf>
    <xf numFmtId="3" fontId="53" fillId="4" borderId="1" xfId="1" applyNumberFormat="1" applyFont="1" applyFill="1" applyBorder="1" applyAlignment="1">
      <alignment horizontal="center" vertical="top" wrapText="1"/>
    </xf>
    <xf numFmtId="4" fontId="53" fillId="4" borderId="2" xfId="0" applyNumberFormat="1" applyFont="1" applyFill="1" applyBorder="1" applyAlignment="1">
      <alignment horizontal="center" vertical="top" wrapText="1"/>
    </xf>
    <xf numFmtId="0" fontId="53" fillId="4" borderId="1" xfId="1" applyFont="1" applyFill="1" applyBorder="1" applyAlignment="1">
      <alignment horizontal="center" vertical="top" wrapText="1"/>
    </xf>
    <xf numFmtId="0" fontId="37" fillId="4" borderId="0" xfId="0" applyFont="1" applyFill="1" applyAlignment="1">
      <alignment horizontal="center" vertical="top" wrapText="1"/>
    </xf>
    <xf numFmtId="4" fontId="19" fillId="4" borderId="1" xfId="0" applyNumberFormat="1" applyFont="1" applyFill="1" applyBorder="1" applyAlignment="1">
      <alignment horizontal="center" vertical="top" wrapText="1"/>
    </xf>
    <xf numFmtId="0" fontId="38" fillId="4" borderId="8" xfId="0" applyFont="1" applyFill="1" applyBorder="1" applyAlignment="1">
      <alignment horizontal="center" vertical="center" wrapText="1"/>
    </xf>
    <xf numFmtId="0" fontId="38" fillId="4" borderId="9" xfId="0" applyFont="1" applyFill="1" applyBorder="1" applyAlignment="1">
      <alignment horizontal="center" vertical="center" wrapText="1"/>
    </xf>
    <xf numFmtId="0" fontId="38" fillId="4" borderId="24" xfId="0" applyFont="1" applyFill="1" applyBorder="1" applyAlignment="1">
      <alignment horizontal="center" vertical="center" wrapText="1"/>
    </xf>
    <xf numFmtId="0" fontId="38" fillId="4" borderId="10" xfId="0" applyFont="1" applyFill="1" applyBorder="1" applyAlignment="1">
      <alignment horizontal="center" vertical="center" wrapText="1"/>
    </xf>
    <xf numFmtId="0" fontId="38" fillId="4" borderId="6" xfId="0" applyFont="1" applyFill="1" applyBorder="1" applyAlignment="1">
      <alignment horizontal="center" vertical="center" wrapText="1"/>
    </xf>
    <xf numFmtId="0" fontId="38" fillId="4" borderId="25" xfId="0" applyFont="1" applyFill="1" applyBorder="1" applyAlignment="1">
      <alignment horizontal="center" vertical="center" wrapText="1"/>
    </xf>
    <xf numFmtId="0" fontId="58" fillId="4" borderId="0" xfId="0" applyFont="1" applyFill="1" applyAlignment="1">
      <alignment horizontal="center" wrapText="1"/>
    </xf>
    <xf numFmtId="4" fontId="53" fillId="4" borderId="1" xfId="0" applyNumberFormat="1" applyFont="1" applyFill="1" applyBorder="1" applyAlignment="1">
      <alignment horizontal="center" vertical="top" wrapText="1"/>
    </xf>
    <xf numFmtId="4" fontId="19" fillId="4" borderId="3" xfId="0" applyNumberFormat="1" applyFont="1" applyFill="1" applyBorder="1" applyAlignment="1">
      <alignment horizontal="center" vertical="top" wrapText="1"/>
    </xf>
    <xf numFmtId="4" fontId="19" fillId="4" borderId="2" xfId="0" applyNumberFormat="1" applyFont="1" applyFill="1" applyBorder="1" applyAlignment="1">
      <alignment horizontal="center" vertical="top" wrapText="1"/>
    </xf>
    <xf numFmtId="4" fontId="53" fillId="4" borderId="3" xfId="0" applyNumberFormat="1" applyFont="1" applyFill="1" applyBorder="1" applyAlignment="1">
      <alignment horizontal="center" vertical="top" wrapText="1"/>
    </xf>
    <xf numFmtId="4" fontId="53" fillId="4" borderId="2" xfId="0" applyNumberFormat="1" applyFont="1" applyFill="1" applyBorder="1" applyAlignment="1">
      <alignment horizontal="center" vertical="top" wrapText="1"/>
    </xf>
    <xf numFmtId="0" fontId="60" fillId="4" borderId="1" xfId="0" applyFont="1" applyFill="1" applyBorder="1" applyAlignment="1">
      <alignment horizontal="center" vertical="top" wrapText="1"/>
    </xf>
    <xf numFmtId="0" fontId="53" fillId="4" borderId="1" xfId="0" applyFont="1" applyFill="1" applyBorder="1" applyAlignment="1">
      <alignment horizontal="center" vertical="top" wrapText="1"/>
    </xf>
    <xf numFmtId="4" fontId="19" fillId="4" borderId="1" xfId="0" applyNumberFormat="1" applyFont="1" applyFill="1" applyBorder="1" applyAlignment="1">
      <alignment horizontal="center" vertical="top"/>
    </xf>
    <xf numFmtId="0" fontId="38" fillId="4" borderId="8" xfId="0" applyFont="1" applyFill="1" applyBorder="1" applyAlignment="1">
      <alignment horizontal="center" vertical="top" wrapText="1"/>
    </xf>
    <xf numFmtId="0" fontId="38" fillId="4" borderId="9" xfId="0" applyFont="1" applyFill="1" applyBorder="1" applyAlignment="1">
      <alignment horizontal="center" vertical="top" wrapText="1"/>
    </xf>
    <xf numFmtId="0" fontId="38" fillId="4" borderId="24" xfId="0" applyFont="1" applyFill="1" applyBorder="1" applyAlignment="1">
      <alignment horizontal="center" vertical="top" wrapText="1"/>
    </xf>
    <xf numFmtId="0" fontId="38" fillId="4" borderId="12" xfId="0" applyFont="1" applyFill="1" applyBorder="1" applyAlignment="1">
      <alignment horizontal="center" vertical="top" wrapText="1"/>
    </xf>
    <xf numFmtId="0" fontId="38" fillId="4" borderId="0" xfId="0" applyFont="1" applyFill="1" applyBorder="1" applyAlignment="1">
      <alignment horizontal="center" vertical="top" wrapText="1"/>
    </xf>
    <xf numFmtId="0" fontId="38" fillId="4" borderId="26" xfId="0" applyFont="1" applyFill="1" applyBorder="1" applyAlignment="1">
      <alignment horizontal="center" vertical="top" wrapText="1"/>
    </xf>
    <xf numFmtId="0" fontId="38" fillId="4" borderId="10" xfId="0" applyFont="1" applyFill="1" applyBorder="1" applyAlignment="1">
      <alignment horizontal="center" vertical="top" wrapText="1"/>
    </xf>
    <xf numFmtId="0" fontId="38" fillId="4" borderId="6" xfId="0" applyFont="1" applyFill="1" applyBorder="1" applyAlignment="1">
      <alignment horizontal="center" vertical="top" wrapText="1"/>
    </xf>
    <xf numFmtId="0" fontId="38" fillId="4" borderId="25" xfId="0" applyFont="1" applyFill="1" applyBorder="1" applyAlignment="1">
      <alignment horizontal="center" vertical="top" wrapText="1"/>
    </xf>
    <xf numFmtId="0" fontId="58" fillId="4" borderId="0" xfId="0" applyFont="1" applyFill="1" applyAlignment="1">
      <alignment horizontal="center" vertical="center" wrapText="1"/>
    </xf>
    <xf numFmtId="0" fontId="38" fillId="4" borderId="1" xfId="0" applyFont="1" applyFill="1" applyBorder="1" applyAlignment="1">
      <alignment horizontal="center" vertical="top" wrapText="1"/>
    </xf>
    <xf numFmtId="4" fontId="19" fillId="4" borderId="4" xfId="0" applyNumberFormat="1" applyFont="1" applyFill="1" applyBorder="1" applyAlignment="1">
      <alignment horizontal="center" vertical="top" wrapText="1"/>
    </xf>
    <xf numFmtId="0" fontId="60" fillId="4" borderId="2" xfId="0" applyFont="1" applyFill="1" applyBorder="1" applyAlignment="1">
      <alignment horizontal="center" vertical="top" wrapText="1"/>
    </xf>
    <xf numFmtId="0" fontId="55" fillId="4" borderId="1" xfId="0" applyFont="1" applyFill="1" applyBorder="1" applyAlignment="1">
      <alignment horizontal="center"/>
    </xf>
    <xf numFmtId="0" fontId="38" fillId="4" borderId="3" xfId="0" applyFont="1" applyFill="1" applyBorder="1" applyAlignment="1">
      <alignment horizontal="center" vertical="top" wrapText="1"/>
    </xf>
    <xf numFmtId="0" fontId="38" fillId="4" borderId="4" xfId="0" applyFont="1" applyFill="1" applyBorder="1" applyAlignment="1">
      <alignment horizontal="center" vertical="top" wrapText="1"/>
    </xf>
    <xf numFmtId="0" fontId="38" fillId="4" borderId="2" xfId="0" applyFont="1" applyFill="1" applyBorder="1" applyAlignment="1">
      <alignment horizontal="center" vertical="top" wrapText="1"/>
    </xf>
    <xf numFmtId="0" fontId="53" fillId="4" borderId="3" xfId="0" applyFont="1" applyFill="1" applyBorder="1" applyAlignment="1">
      <alignment horizontal="center" vertical="top" wrapText="1"/>
    </xf>
    <xf numFmtId="0" fontId="53" fillId="4" borderId="4" xfId="0" applyFont="1" applyFill="1" applyBorder="1" applyAlignment="1">
      <alignment horizontal="center" vertical="top" wrapText="1"/>
    </xf>
    <xf numFmtId="0" fontId="53" fillId="4" borderId="2" xfId="0" applyFont="1" applyFill="1" applyBorder="1" applyAlignment="1">
      <alignment horizontal="center" vertical="top" wrapText="1"/>
    </xf>
    <xf numFmtId="4" fontId="53" fillId="4" borderId="4" xfId="0" applyNumberFormat="1" applyFont="1" applyFill="1" applyBorder="1" applyAlignment="1">
      <alignment horizontal="center" vertical="top" wrapText="1"/>
    </xf>
    <xf numFmtId="4" fontId="53" fillId="4" borderId="3" xfId="0" applyNumberFormat="1" applyFont="1" applyFill="1" applyBorder="1" applyAlignment="1">
      <alignment horizontal="center" vertical="center" wrapText="1"/>
    </xf>
    <xf numFmtId="4" fontId="53" fillId="4" borderId="4" xfId="0" applyNumberFormat="1" applyFont="1" applyFill="1" applyBorder="1" applyAlignment="1">
      <alignment horizontal="center" vertical="center" wrapText="1"/>
    </xf>
    <xf numFmtId="4" fontId="53" fillId="4" borderId="2" xfId="0" applyNumberFormat="1" applyFont="1" applyFill="1" applyBorder="1" applyAlignment="1">
      <alignment horizontal="center" vertical="center" wrapText="1"/>
    </xf>
    <xf numFmtId="0" fontId="19" fillId="4" borderId="1" xfId="0" applyFont="1" applyFill="1" applyBorder="1" applyAlignment="1">
      <alignment horizontal="center" vertical="top" wrapText="1"/>
    </xf>
    <xf numFmtId="3" fontId="53" fillId="4" borderId="1" xfId="1" applyNumberFormat="1" applyFont="1" applyFill="1" applyBorder="1" applyAlignment="1">
      <alignment horizontal="center" vertical="top" wrapText="1"/>
    </xf>
    <xf numFmtId="0" fontId="59" fillId="4" borderId="1" xfId="0" applyFont="1" applyFill="1" applyBorder="1" applyAlignment="1">
      <alignment horizontal="center" vertical="top" wrapText="1"/>
    </xf>
    <xf numFmtId="0" fontId="60" fillId="4" borderId="1" xfId="0" applyFont="1" applyFill="1" applyBorder="1" applyAlignment="1">
      <alignment vertical="top" wrapText="1"/>
    </xf>
    <xf numFmtId="0" fontId="53" fillId="4" borderId="1" xfId="1" applyFont="1" applyFill="1" applyBorder="1" applyAlignment="1">
      <alignment horizontal="center" vertical="top" wrapText="1"/>
    </xf>
    <xf numFmtId="0" fontId="54" fillId="0" borderId="0" xfId="0" applyFont="1" applyAlignment="1">
      <alignment horizontal="left" wrapText="1"/>
    </xf>
    <xf numFmtId="0" fontId="53" fillId="4" borderId="1" xfId="0" applyFont="1" applyFill="1" applyBorder="1" applyAlignment="1">
      <alignment horizontal="center" vertical="center" wrapText="1"/>
    </xf>
    <xf numFmtId="0" fontId="62" fillId="4" borderId="1" xfId="0" applyFont="1" applyFill="1" applyBorder="1" applyAlignment="1">
      <alignment horizontal="center" vertical="top" wrapText="1"/>
    </xf>
    <xf numFmtId="4" fontId="37" fillId="4" borderId="0" xfId="0" applyNumberFormat="1" applyFont="1" applyFill="1" applyBorder="1" applyAlignment="1">
      <alignment horizontal="right" vertical="top" wrapText="1"/>
    </xf>
    <xf numFmtId="4" fontId="56" fillId="4" borderId="0" xfId="0" applyNumberFormat="1" applyFont="1" applyFill="1" applyBorder="1" applyAlignment="1">
      <alignment horizontal="right" vertical="top" wrapText="1"/>
    </xf>
    <xf numFmtId="49" fontId="53" fillId="4" borderId="1" xfId="0" applyNumberFormat="1" applyFont="1" applyFill="1" applyBorder="1" applyAlignment="1">
      <alignment horizontal="center" vertical="top" wrapText="1"/>
    </xf>
    <xf numFmtId="0" fontId="37" fillId="4" borderId="0" xfId="0" applyFont="1" applyFill="1" applyAlignment="1">
      <alignment horizontal="center" vertical="top" wrapText="1"/>
    </xf>
    <xf numFmtId="49" fontId="53" fillId="4" borderId="3" xfId="0" applyNumberFormat="1" applyFont="1" applyFill="1" applyBorder="1" applyAlignment="1">
      <alignment horizontal="center" vertical="top" wrapText="1"/>
    </xf>
    <xf numFmtId="49" fontId="53" fillId="4" borderId="2" xfId="0" applyNumberFormat="1" applyFont="1" applyFill="1" applyBorder="1" applyAlignment="1">
      <alignment horizontal="center" vertical="top" wrapText="1"/>
    </xf>
    <xf numFmtId="0" fontId="58" fillId="4" borderId="0" xfId="0" applyFont="1" applyFill="1" applyAlignment="1">
      <alignment horizontal="center"/>
    </xf>
    <xf numFmtId="49" fontId="27" fillId="0" borderId="3" xfId="0" applyNumberFormat="1" applyFont="1" applyBorder="1" applyAlignment="1">
      <alignment horizontal="center" vertical="center"/>
    </xf>
    <xf numFmtId="49" fontId="27" fillId="0" borderId="2" xfId="0" applyNumberFormat="1" applyFont="1" applyBorder="1" applyAlignment="1">
      <alignment horizontal="center" vertical="center"/>
    </xf>
    <xf numFmtId="4" fontId="28" fillId="0" borderId="7" xfId="2" applyNumberFormat="1" applyFont="1" applyFill="1" applyBorder="1" applyAlignment="1">
      <alignment horizontal="center" vertical="center"/>
    </xf>
    <xf numFmtId="4" fontId="28" fillId="0" borderId="11" xfId="2" applyNumberFormat="1" applyFont="1" applyFill="1" applyBorder="1" applyAlignment="1">
      <alignment horizontal="center" vertical="center"/>
    </xf>
    <xf numFmtId="4" fontId="14" fillId="0" borderId="0" xfId="0" applyNumberFormat="1" applyFont="1" applyFill="1" applyAlignment="1">
      <alignment horizontal="center" vertical="center" wrapText="1"/>
    </xf>
    <xf numFmtId="4" fontId="26" fillId="7" borderId="8" xfId="0" applyNumberFormat="1" applyFont="1" applyFill="1" applyBorder="1" applyAlignment="1">
      <alignment horizontal="center" wrapText="1"/>
    </xf>
    <xf numFmtId="4" fontId="26" fillId="7" borderId="9" xfId="0" applyNumberFormat="1" applyFont="1" applyFill="1" applyBorder="1" applyAlignment="1">
      <alignment horizontal="center" wrapText="1"/>
    </xf>
    <xf numFmtId="4" fontId="28" fillId="0" borderId="10" xfId="2" applyNumberFormat="1" applyFont="1" applyFill="1" applyBorder="1" applyAlignment="1">
      <alignment horizontal="center" vertical="center"/>
    </xf>
    <xf numFmtId="4" fontId="28" fillId="0" borderId="6" xfId="2" applyNumberFormat="1" applyFont="1" applyFill="1" applyBorder="1" applyAlignment="1">
      <alignment horizontal="center" vertical="center"/>
    </xf>
    <xf numFmtId="4" fontId="26" fillId="0" borderId="3" xfId="2" applyNumberFormat="1" applyFont="1" applyFill="1" applyBorder="1" applyAlignment="1">
      <alignment horizontal="center" vertical="center"/>
    </xf>
    <xf numFmtId="4" fontId="26" fillId="0" borderId="4" xfId="2" applyNumberFormat="1" applyFont="1" applyFill="1" applyBorder="1" applyAlignment="1">
      <alignment horizontal="center" vertical="center"/>
    </xf>
    <xf numFmtId="0" fontId="26" fillId="0" borderId="3" xfId="2" applyNumberFormat="1" applyFont="1" applyFill="1" applyBorder="1" applyAlignment="1">
      <alignment horizontal="center" vertical="center"/>
    </xf>
    <xf numFmtId="0" fontId="26" fillId="0" borderId="4" xfId="2" applyNumberFormat="1" applyFont="1" applyFill="1" applyBorder="1" applyAlignment="1">
      <alignment horizontal="center" vertical="center"/>
    </xf>
    <xf numFmtId="0" fontId="26" fillId="0" borderId="2" xfId="2" applyNumberFormat="1" applyFont="1" applyFill="1" applyBorder="1" applyAlignment="1">
      <alignment horizontal="center" vertical="center"/>
    </xf>
    <xf numFmtId="4" fontId="26" fillId="0" borderId="3" xfId="0" applyNumberFormat="1" applyFont="1" applyBorder="1" applyAlignment="1">
      <alignment horizontal="center" vertical="center"/>
    </xf>
    <xf numFmtId="4" fontId="26" fillId="0" borderId="4" xfId="0" applyNumberFormat="1" applyFont="1" applyBorder="1" applyAlignment="1">
      <alignment horizontal="center" vertical="center"/>
    </xf>
    <xf numFmtId="4" fontId="26" fillId="0" borderId="2" xfId="0" applyNumberFormat="1" applyFont="1" applyBorder="1" applyAlignment="1">
      <alignment horizontal="center" vertical="center"/>
    </xf>
    <xf numFmtId="3" fontId="41" fillId="0" borderId="3" xfId="0" applyNumberFormat="1" applyFont="1" applyBorder="1" applyAlignment="1">
      <alignment horizontal="center" vertical="center"/>
    </xf>
    <xf numFmtId="3" fontId="41" fillId="0" borderId="4" xfId="0" applyNumberFormat="1" applyFont="1" applyBorder="1" applyAlignment="1">
      <alignment horizontal="center" vertical="center"/>
    </xf>
    <xf numFmtId="3" fontId="41" fillId="0" borderId="2" xfId="0" applyNumberFormat="1" applyFont="1" applyBorder="1" applyAlignment="1">
      <alignment horizontal="center" vertical="center"/>
    </xf>
    <xf numFmtId="4" fontId="15" fillId="0" borderId="3" xfId="0" applyNumberFormat="1" applyFont="1" applyFill="1" applyBorder="1" applyAlignment="1">
      <alignment horizontal="center" vertical="center" wrapText="1"/>
    </xf>
    <xf numFmtId="4" fontId="15" fillId="0" borderId="4" xfId="0" applyNumberFormat="1" applyFont="1" applyFill="1" applyBorder="1" applyAlignment="1">
      <alignment horizontal="center" vertical="center" wrapText="1"/>
    </xf>
    <xf numFmtId="4" fontId="15" fillId="0" borderId="2" xfId="0" applyNumberFormat="1" applyFont="1" applyFill="1" applyBorder="1" applyAlignment="1">
      <alignment horizontal="center" vertical="center" wrapText="1"/>
    </xf>
    <xf numFmtId="4" fontId="17" fillId="0" borderId="3" xfId="0" applyNumberFormat="1" applyFont="1" applyBorder="1" applyAlignment="1">
      <alignment horizontal="center" vertical="center" wrapText="1"/>
    </xf>
    <xf numFmtId="4" fontId="17" fillId="0" borderId="4" xfId="0" applyNumberFormat="1" applyFont="1" applyBorder="1" applyAlignment="1">
      <alignment horizontal="center" vertical="center" wrapText="1"/>
    </xf>
    <xf numFmtId="4" fontId="17" fillId="0" borderId="2" xfId="0" applyNumberFormat="1" applyFont="1" applyBorder="1" applyAlignment="1">
      <alignment horizontal="center" vertical="center" wrapText="1"/>
    </xf>
    <xf numFmtId="4" fontId="17" fillId="0" borderId="3" xfId="0" applyNumberFormat="1" applyFont="1" applyFill="1" applyBorder="1" applyAlignment="1">
      <alignment horizontal="center" vertical="center" wrapText="1"/>
    </xf>
    <xf numFmtId="4" fontId="17" fillId="0" borderId="4" xfId="0" applyNumberFormat="1" applyFont="1" applyFill="1" applyBorder="1" applyAlignment="1">
      <alignment horizontal="center" vertical="center" wrapText="1"/>
    </xf>
    <xf numFmtId="4" fontId="17" fillId="0" borderId="2" xfId="0" applyNumberFormat="1" applyFont="1" applyFill="1" applyBorder="1" applyAlignment="1">
      <alignment horizontal="center" vertical="center" wrapText="1"/>
    </xf>
    <xf numFmtId="4" fontId="25" fillId="0" borderId="1" xfId="0" applyNumberFormat="1" applyFont="1" applyBorder="1" applyAlignment="1">
      <alignment horizontal="center" vertical="top"/>
    </xf>
    <xf numFmtId="4" fontId="15" fillId="6" borderId="3" xfId="0" applyNumberFormat="1" applyFont="1" applyFill="1" applyBorder="1" applyAlignment="1">
      <alignment horizontal="center" vertical="center" wrapText="1"/>
    </xf>
    <xf numFmtId="4" fontId="15" fillId="6" borderId="4" xfId="0" applyNumberFormat="1" applyFont="1" applyFill="1" applyBorder="1" applyAlignment="1">
      <alignment horizontal="center" vertical="center" wrapText="1"/>
    </xf>
    <xf numFmtId="4" fontId="15" fillId="6" borderId="2" xfId="0" applyNumberFormat="1" applyFont="1" applyFill="1" applyBorder="1" applyAlignment="1">
      <alignment horizontal="center" vertical="center" wrapText="1"/>
    </xf>
    <xf numFmtId="3" fontId="26" fillId="0" borderId="3" xfId="0" applyNumberFormat="1" applyFont="1" applyBorder="1" applyAlignment="1">
      <alignment horizontal="center" vertical="center"/>
    </xf>
    <xf numFmtId="3" fontId="26" fillId="0" borderId="4" xfId="0" applyNumberFormat="1" applyFont="1" applyBorder="1" applyAlignment="1">
      <alignment horizontal="center" vertical="center"/>
    </xf>
    <xf numFmtId="3" fontId="26" fillId="0" borderId="2" xfId="0" applyNumberFormat="1" applyFont="1" applyBorder="1" applyAlignment="1">
      <alignment horizontal="center" vertical="center"/>
    </xf>
    <xf numFmtId="4" fontId="28" fillId="0" borderId="7" xfId="0" applyNumberFormat="1" applyFont="1" applyBorder="1" applyAlignment="1">
      <alignment horizontal="center" vertical="top"/>
    </xf>
    <xf numFmtId="4" fontId="28" fillId="0" borderId="11" xfId="0" applyNumberFormat="1" applyFont="1" applyBorder="1" applyAlignment="1">
      <alignment horizontal="center" vertical="top"/>
    </xf>
    <xf numFmtId="4" fontId="15" fillId="0" borderId="3" xfId="0" applyNumberFormat="1" applyFont="1" applyBorder="1" applyAlignment="1">
      <alignment horizontal="center" vertical="center" wrapText="1"/>
    </xf>
    <xf numFmtId="4" fontId="15" fillId="0" borderId="4" xfId="0" applyNumberFormat="1" applyFont="1" applyBorder="1" applyAlignment="1">
      <alignment horizontal="center" vertical="center" wrapText="1"/>
    </xf>
    <xf numFmtId="4" fontId="15" fillId="0" borderId="2" xfId="0" applyNumberFormat="1" applyFont="1" applyBorder="1" applyAlignment="1">
      <alignment horizontal="center" vertical="center" wrapText="1"/>
    </xf>
    <xf numFmtId="4" fontId="6" fillId="0" borderId="3" xfId="0" applyNumberFormat="1" applyFont="1" applyFill="1" applyBorder="1" applyAlignment="1">
      <alignment horizontal="center" vertical="center" wrapText="1"/>
    </xf>
    <xf numFmtId="4" fontId="6" fillId="0" borderId="4" xfId="0" applyNumberFormat="1" applyFont="1" applyFill="1" applyBorder="1" applyAlignment="1">
      <alignment horizontal="center" vertical="center" wrapText="1"/>
    </xf>
    <xf numFmtId="4" fontId="6" fillId="0" borderId="2" xfId="0" applyNumberFormat="1" applyFont="1" applyFill="1" applyBorder="1" applyAlignment="1">
      <alignment horizontal="center" vertical="center" wrapText="1"/>
    </xf>
    <xf numFmtId="4" fontId="28" fillId="0" borderId="7" xfId="0" applyNumberFormat="1" applyFont="1" applyFill="1" applyBorder="1" applyAlignment="1">
      <alignment horizontal="center" vertical="top" wrapText="1"/>
    </xf>
    <xf numFmtId="4" fontId="28" fillId="0" borderId="11" xfId="0" applyNumberFormat="1" applyFont="1" applyFill="1" applyBorder="1" applyAlignment="1">
      <alignment horizontal="center" vertical="top" wrapText="1"/>
    </xf>
    <xf numFmtId="4" fontId="28" fillId="0" borderId="5" xfId="0" applyNumberFormat="1" applyFont="1" applyFill="1" applyBorder="1" applyAlignment="1">
      <alignment horizontal="center" vertical="top" wrapText="1"/>
    </xf>
    <xf numFmtId="49" fontId="26" fillId="0" borderId="3" xfId="0" applyNumberFormat="1" applyFont="1" applyBorder="1" applyAlignment="1">
      <alignment horizontal="center" vertical="center"/>
    </xf>
    <xf numFmtId="49" fontId="26" fillId="0" borderId="2" xfId="0" applyNumberFormat="1" applyFont="1" applyBorder="1" applyAlignment="1">
      <alignment horizontal="center" vertical="center"/>
    </xf>
    <xf numFmtId="49" fontId="26" fillId="0" borderId="4" xfId="0" applyNumberFormat="1" applyFont="1" applyBorder="1" applyAlignment="1">
      <alignment horizontal="center" vertical="center"/>
    </xf>
    <xf numFmtId="4" fontId="28" fillId="0" borderId="1" xfId="0" applyNumberFormat="1" applyFont="1" applyBorder="1" applyAlignment="1">
      <alignment horizontal="center" vertical="top"/>
    </xf>
    <xf numFmtId="49" fontId="28" fillId="0" borderId="7" xfId="0" applyNumberFormat="1" applyFont="1" applyBorder="1" applyAlignment="1">
      <alignment horizontal="center" vertical="top" wrapText="1"/>
    </xf>
    <xf numFmtId="49" fontId="28" fillId="0" borderId="11" xfId="0" applyNumberFormat="1" applyFont="1" applyBorder="1" applyAlignment="1">
      <alignment horizontal="center" vertical="top" wrapText="1"/>
    </xf>
    <xf numFmtId="49" fontId="41" fillId="0" borderId="3" xfId="0" applyNumberFormat="1" applyFont="1" applyFill="1" applyBorder="1" applyAlignment="1">
      <alignment horizontal="center" vertical="center"/>
    </xf>
    <xf numFmtId="49" fontId="41" fillId="0" borderId="4" xfId="0" applyNumberFormat="1" applyFont="1" applyFill="1" applyBorder="1" applyAlignment="1">
      <alignment horizontal="center" vertical="center"/>
    </xf>
    <xf numFmtId="49" fontId="41" fillId="0" borderId="2" xfId="0" applyNumberFormat="1" applyFont="1" applyFill="1" applyBorder="1" applyAlignment="1">
      <alignment horizontal="center" vertical="center"/>
    </xf>
    <xf numFmtId="0" fontId="26" fillId="0" borderId="3" xfId="0" applyNumberFormat="1" applyFont="1" applyBorder="1" applyAlignment="1">
      <alignment horizontal="center" vertical="center"/>
    </xf>
    <xf numFmtId="0" fontId="26" fillId="0" borderId="4" xfId="0" applyNumberFormat="1" applyFont="1" applyBorder="1" applyAlignment="1">
      <alignment horizontal="center" vertical="center"/>
    </xf>
    <xf numFmtId="0" fontId="26" fillId="0" borderId="2" xfId="0" applyNumberFormat="1" applyFont="1" applyBorder="1" applyAlignment="1">
      <alignment horizontal="center" vertical="center"/>
    </xf>
    <xf numFmtId="4" fontId="26" fillId="0" borderId="7" xfId="0" applyNumberFormat="1" applyFont="1" applyBorder="1" applyAlignment="1">
      <alignment horizontal="center" vertical="top"/>
    </xf>
    <xf numFmtId="4" fontId="26" fillId="0" borderId="11" xfId="0" applyNumberFormat="1" applyFont="1" applyBorder="1" applyAlignment="1">
      <alignment horizontal="center" vertical="top"/>
    </xf>
    <xf numFmtId="49" fontId="41" fillId="0" borderId="3" xfId="0" applyNumberFormat="1" applyFont="1" applyBorder="1" applyAlignment="1">
      <alignment horizontal="center" vertical="center"/>
    </xf>
    <xf numFmtId="49" fontId="41" fillId="0" borderId="4" xfId="0" applyNumberFormat="1" applyFont="1" applyBorder="1" applyAlignment="1">
      <alignment horizontal="center" vertical="center"/>
    </xf>
    <xf numFmtId="49" fontId="41" fillId="0" borderId="2" xfId="0" applyNumberFormat="1" applyFont="1" applyBorder="1" applyAlignment="1">
      <alignment horizontal="center" vertical="center"/>
    </xf>
    <xf numFmtId="0" fontId="41" fillId="0" borderId="3" xfId="0" applyNumberFormat="1" applyFont="1" applyBorder="1" applyAlignment="1">
      <alignment horizontal="center" vertical="center"/>
    </xf>
    <xf numFmtId="0" fontId="41" fillId="0" borderId="2" xfId="0" applyNumberFormat="1" applyFont="1" applyBorder="1" applyAlignment="1">
      <alignment horizontal="center" vertical="center"/>
    </xf>
    <xf numFmtId="4" fontId="28" fillId="0" borderId="5" xfId="0" applyNumberFormat="1" applyFont="1" applyBorder="1" applyAlignment="1">
      <alignment horizontal="center" vertical="top"/>
    </xf>
    <xf numFmtId="4" fontId="23" fillId="5" borderId="21" xfId="0" applyNumberFormat="1" applyFont="1" applyFill="1" applyBorder="1" applyAlignment="1">
      <alignment horizontal="center" vertical="center"/>
    </xf>
    <xf numFmtId="4" fontId="23" fillId="5" borderId="2" xfId="0" applyNumberFormat="1" applyFont="1" applyFill="1" applyBorder="1" applyAlignment="1">
      <alignment horizontal="center" vertical="center"/>
    </xf>
    <xf numFmtId="49" fontId="27" fillId="0" borderId="21" xfId="0" applyNumberFormat="1" applyFont="1" applyBorder="1" applyAlignment="1">
      <alignment horizontal="center" vertical="center"/>
    </xf>
    <xf numFmtId="49" fontId="27" fillId="0" borderId="4" xfId="0" applyNumberFormat="1" applyFont="1" applyBorder="1" applyAlignment="1">
      <alignment horizontal="center" vertical="center"/>
    </xf>
    <xf numFmtId="4" fontId="27" fillId="0" borderId="1" xfId="0" applyNumberFormat="1" applyFont="1" applyBorder="1" applyAlignment="1">
      <alignment horizontal="center" vertical="center"/>
    </xf>
    <xf numFmtId="4" fontId="27" fillId="0" borderId="3" xfId="0" applyNumberFormat="1" applyFont="1" applyBorder="1" applyAlignment="1">
      <alignment horizontal="center" vertical="center"/>
    </xf>
    <xf numFmtId="4" fontId="27" fillId="0" borderId="2" xfId="0" applyNumberFormat="1" applyFont="1" applyBorder="1" applyAlignment="1">
      <alignment horizontal="center" vertical="center"/>
    </xf>
    <xf numFmtId="49" fontId="27" fillId="0" borderId="12" xfId="0" applyNumberFormat="1" applyFont="1" applyBorder="1" applyAlignment="1">
      <alignment horizontal="center" vertical="center"/>
    </xf>
    <xf numFmtId="4" fontId="20" fillId="0" borderId="8" xfId="0" applyNumberFormat="1" applyFont="1" applyBorder="1" applyAlignment="1">
      <alignment horizontal="center"/>
    </xf>
    <xf numFmtId="4" fontId="20" fillId="0" borderId="12" xfId="0" applyNumberFormat="1" applyFont="1" applyBorder="1" applyAlignment="1">
      <alignment horizontal="center"/>
    </xf>
    <xf numFmtId="4" fontId="20" fillId="0" borderId="9" xfId="0" applyNumberFormat="1" applyFont="1" applyBorder="1" applyAlignment="1">
      <alignment horizontal="center"/>
    </xf>
    <xf numFmtId="4" fontId="20" fillId="0" borderId="0" xfId="0" applyNumberFormat="1" applyFont="1" applyBorder="1" applyAlignment="1">
      <alignment horizontal="center"/>
    </xf>
    <xf numFmtId="4" fontId="27" fillId="0" borderId="4" xfId="0" applyNumberFormat="1" applyFont="1" applyBorder="1" applyAlignment="1">
      <alignment horizontal="center"/>
    </xf>
    <xf numFmtId="4" fontId="27" fillId="0" borderId="2" xfId="0" applyNumberFormat="1" applyFont="1" applyBorder="1" applyAlignment="1">
      <alignment horizontal="center"/>
    </xf>
    <xf numFmtId="49" fontId="27" fillId="0" borderId="1" xfId="0" applyNumberFormat="1" applyFont="1" applyBorder="1" applyAlignment="1">
      <alignment horizontal="center" vertical="center"/>
    </xf>
  </cellXfs>
  <cellStyles count="6">
    <cellStyle name="Обычный" xfId="0" builtinId="0"/>
    <cellStyle name="Обычный 10" xfId="5"/>
    <cellStyle name="Обычный 2 2" xfId="3"/>
    <cellStyle name="Обычный 4 2" xfId="4"/>
    <cellStyle name="Обычный_Рішення Благоустрій листопад" xfId="1"/>
    <cellStyle name="㼿㼿㼿㼿㼿㼿㼿㼿㼿㼿㼿㼿㼿㼿"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12</xdr:col>
      <xdr:colOff>19050</xdr:colOff>
      <xdr:row>124</xdr:row>
      <xdr:rowOff>0</xdr:rowOff>
    </xdr:from>
    <xdr:to>
      <xdr:col>13</xdr:col>
      <xdr:colOff>0</xdr:colOff>
      <xdr:row>124</xdr:row>
      <xdr:rowOff>19050</xdr:rowOff>
    </xdr:to>
    <xdr:cxnSp macro="">
      <xdr:nvCxnSpPr>
        <xdr:cNvPr id="3" name="Прямая соединительная линия 2"/>
        <xdr:cNvCxnSpPr/>
      </xdr:nvCxnSpPr>
      <xdr:spPr>
        <a:xfrm>
          <a:off x="16592550" y="271233900"/>
          <a:ext cx="2000250" cy="19050"/>
        </a:xfrm>
        <a:prstGeom prst="line">
          <a:avLst/>
        </a:prstGeom>
        <a:ln w="76200">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115</xdr:row>
      <xdr:rowOff>19050</xdr:rowOff>
    </xdr:from>
    <xdr:to>
      <xdr:col>5</xdr:col>
      <xdr:colOff>0</xdr:colOff>
      <xdr:row>116</xdr:row>
      <xdr:rowOff>19050</xdr:rowOff>
    </xdr:to>
    <xdr:cxnSp macro="">
      <xdr:nvCxnSpPr>
        <xdr:cNvPr id="4" name="Прямая соединительная линия 3"/>
        <xdr:cNvCxnSpPr/>
      </xdr:nvCxnSpPr>
      <xdr:spPr>
        <a:xfrm>
          <a:off x="6153150" y="252679200"/>
          <a:ext cx="0" cy="495300"/>
        </a:xfrm>
        <a:prstGeom prst="line">
          <a:avLst/>
        </a:prstGeom>
        <a:ln w="76200">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148"/>
  <sheetViews>
    <sheetView tabSelected="1" view="pageBreakPreview" zoomScale="50" zoomScaleNormal="50" zoomScaleSheetLayoutView="50" workbookViewId="0">
      <selection activeCell="K3" sqref="K3:L3"/>
    </sheetView>
  </sheetViews>
  <sheetFormatPr defaultColWidth="9.140625" defaultRowHeight="12.75" x14ac:dyDescent="0.2"/>
  <cols>
    <col min="1" max="1" width="6.85546875" style="258" customWidth="1"/>
    <col min="2" max="2" width="19.42578125" style="258" customWidth="1"/>
    <col min="3" max="3" width="27.7109375" style="258" customWidth="1"/>
    <col min="4" max="4" width="14.28515625" style="267" customWidth="1"/>
    <col min="5" max="5" width="23.85546875" style="3" customWidth="1"/>
    <col min="6" max="6" width="25" style="258" customWidth="1"/>
    <col min="7" max="7" width="22.5703125" style="258" customWidth="1"/>
    <col min="8" max="8" width="22.28515625" style="258" customWidth="1"/>
    <col min="9" max="9" width="20.42578125" style="258" customWidth="1"/>
    <col min="10" max="10" width="20.85546875" style="258" customWidth="1"/>
    <col min="11" max="11" width="20.42578125" style="258" customWidth="1"/>
    <col min="12" max="12" width="24.140625" style="258" customWidth="1"/>
    <col min="13" max="13" width="30.28515625" style="3" customWidth="1"/>
    <col min="14" max="14" width="11.5703125" style="3" hidden="1" customWidth="1"/>
    <col min="15" max="16384" width="9.140625" style="3"/>
  </cols>
  <sheetData>
    <row r="1" spans="1:14" ht="30.75" customHeight="1" x14ac:dyDescent="0.2">
      <c r="A1" s="272"/>
      <c r="B1" s="272"/>
      <c r="C1" s="272"/>
      <c r="D1" s="273"/>
      <c r="E1" s="274"/>
      <c r="F1" s="272"/>
      <c r="G1" s="272"/>
      <c r="H1" s="275"/>
      <c r="I1" s="275"/>
      <c r="J1" s="275"/>
      <c r="K1" s="276" t="s">
        <v>629</v>
      </c>
      <c r="L1" s="277"/>
      <c r="M1" s="277"/>
    </row>
    <row r="2" spans="1:14" ht="30.75" customHeight="1" x14ac:dyDescent="0.4">
      <c r="A2" s="278"/>
      <c r="B2" s="278"/>
      <c r="C2" s="278"/>
      <c r="D2" s="279"/>
      <c r="E2" s="280"/>
      <c r="F2" s="281" t="s">
        <v>4</v>
      </c>
      <c r="G2" s="272"/>
      <c r="H2" s="275"/>
      <c r="I2" s="275"/>
      <c r="J2" s="275"/>
      <c r="K2" s="366" t="s">
        <v>628</v>
      </c>
      <c r="L2" s="366"/>
      <c r="M2" s="366"/>
      <c r="N2" s="2"/>
    </row>
    <row r="3" spans="1:14" ht="29.25" customHeight="1" x14ac:dyDescent="0.4">
      <c r="A3" s="278"/>
      <c r="B3" s="278"/>
      <c r="C3" s="278"/>
      <c r="D3" s="279"/>
      <c r="E3" s="280"/>
      <c r="F3" s="281"/>
      <c r="G3" s="272"/>
      <c r="H3" s="275"/>
      <c r="I3" s="275"/>
      <c r="J3" s="275"/>
      <c r="K3" s="366" t="s">
        <v>635</v>
      </c>
      <c r="L3" s="366"/>
      <c r="M3" s="314"/>
      <c r="N3" s="2"/>
    </row>
    <row r="4" spans="1:14" ht="34.5" x14ac:dyDescent="0.45">
      <c r="A4" s="369" t="s">
        <v>568</v>
      </c>
      <c r="B4" s="369"/>
      <c r="C4" s="369"/>
      <c r="D4" s="369"/>
      <c r="E4" s="369"/>
      <c r="F4" s="369"/>
      <c r="G4" s="369"/>
      <c r="H4" s="369"/>
      <c r="I4" s="369"/>
      <c r="J4" s="369"/>
      <c r="K4" s="369"/>
      <c r="L4" s="369"/>
      <c r="M4" s="369"/>
    </row>
    <row r="5" spans="1:14" ht="27.6" customHeight="1" x14ac:dyDescent="0.2">
      <c r="A5" s="322" t="s">
        <v>607</v>
      </c>
      <c r="B5" s="322"/>
      <c r="C5" s="322"/>
      <c r="D5" s="322"/>
      <c r="E5" s="322"/>
      <c r="F5" s="322"/>
      <c r="G5" s="322"/>
      <c r="H5" s="322"/>
      <c r="I5" s="322"/>
      <c r="J5" s="322"/>
      <c r="K5" s="322"/>
      <c r="L5" s="322"/>
      <c r="M5" s="322"/>
    </row>
    <row r="6" spans="1:14" ht="93.75" customHeight="1" x14ac:dyDescent="0.2">
      <c r="A6" s="340" t="s">
        <v>630</v>
      </c>
      <c r="B6" s="340"/>
      <c r="C6" s="340"/>
      <c r="D6" s="340"/>
      <c r="E6" s="340"/>
      <c r="F6" s="340"/>
      <c r="G6" s="340"/>
      <c r="H6" s="340"/>
      <c r="I6" s="340"/>
      <c r="J6" s="340"/>
      <c r="K6" s="340"/>
      <c r="L6" s="340"/>
      <c r="M6" s="340"/>
    </row>
    <row r="7" spans="1:14" ht="30.75" customHeight="1" x14ac:dyDescent="0.2">
      <c r="A7" s="340"/>
      <c r="B7" s="340"/>
      <c r="C7" s="340"/>
      <c r="D7" s="340"/>
      <c r="E7" s="340"/>
      <c r="F7" s="340"/>
      <c r="G7" s="340"/>
      <c r="H7" s="340"/>
      <c r="I7" s="340"/>
      <c r="J7" s="340"/>
      <c r="K7" s="340"/>
      <c r="L7" s="340"/>
      <c r="M7" s="340"/>
    </row>
    <row r="8" spans="1:14" ht="27" customHeight="1" x14ac:dyDescent="0.2">
      <c r="A8" s="345" t="s">
        <v>11</v>
      </c>
      <c r="B8" s="341" t="s">
        <v>555</v>
      </c>
      <c r="C8" s="345" t="s">
        <v>0</v>
      </c>
      <c r="D8" s="345" t="s">
        <v>6</v>
      </c>
      <c r="E8" s="345" t="s">
        <v>1</v>
      </c>
      <c r="F8" s="345" t="s">
        <v>71</v>
      </c>
      <c r="G8" s="316" t="s">
        <v>17</v>
      </c>
      <c r="H8" s="317"/>
      <c r="I8" s="317"/>
      <c r="J8" s="317"/>
      <c r="K8" s="317"/>
      <c r="L8" s="318"/>
      <c r="M8" s="345" t="s">
        <v>5</v>
      </c>
    </row>
    <row r="9" spans="1:14" ht="21" customHeight="1" x14ac:dyDescent="0.2">
      <c r="A9" s="346"/>
      <c r="B9" s="341"/>
      <c r="C9" s="346"/>
      <c r="D9" s="346"/>
      <c r="E9" s="346"/>
      <c r="F9" s="346"/>
      <c r="G9" s="319"/>
      <c r="H9" s="320"/>
      <c r="I9" s="320"/>
      <c r="J9" s="320"/>
      <c r="K9" s="320"/>
      <c r="L9" s="321"/>
      <c r="M9" s="346"/>
    </row>
    <row r="10" spans="1:14" ht="72" customHeight="1" x14ac:dyDescent="0.2">
      <c r="A10" s="346"/>
      <c r="B10" s="341"/>
      <c r="C10" s="346"/>
      <c r="D10" s="346"/>
      <c r="E10" s="346"/>
      <c r="F10" s="346"/>
      <c r="G10" s="345" t="s">
        <v>556</v>
      </c>
      <c r="H10" s="341" t="s">
        <v>57</v>
      </c>
      <c r="I10" s="341" t="s">
        <v>58</v>
      </c>
      <c r="J10" s="341" t="s">
        <v>59</v>
      </c>
      <c r="K10" s="345" t="s">
        <v>80</v>
      </c>
      <c r="L10" s="341" t="s">
        <v>3</v>
      </c>
      <c r="M10" s="346"/>
    </row>
    <row r="11" spans="1:14" ht="25.5" x14ac:dyDescent="0.2">
      <c r="A11" s="347"/>
      <c r="B11" s="341"/>
      <c r="C11" s="347"/>
      <c r="D11" s="347"/>
      <c r="E11" s="347"/>
      <c r="F11" s="347"/>
      <c r="G11" s="347"/>
      <c r="H11" s="341"/>
      <c r="I11" s="341"/>
      <c r="J11" s="341"/>
      <c r="K11" s="347"/>
      <c r="L11" s="341"/>
      <c r="M11" s="347"/>
    </row>
    <row r="12" spans="1:14" ht="184.5" customHeight="1" x14ac:dyDescent="0.2">
      <c r="A12" s="304">
        <v>1</v>
      </c>
      <c r="B12" s="304">
        <v>2</v>
      </c>
      <c r="C12" s="304">
        <v>3</v>
      </c>
      <c r="D12" s="304">
        <v>4</v>
      </c>
      <c r="E12" s="304">
        <v>5</v>
      </c>
      <c r="F12" s="304">
        <v>6</v>
      </c>
      <c r="G12" s="304">
        <v>7</v>
      </c>
      <c r="H12" s="304">
        <v>8</v>
      </c>
      <c r="I12" s="304">
        <v>9</v>
      </c>
      <c r="J12" s="304">
        <v>10</v>
      </c>
      <c r="K12" s="304">
        <v>11</v>
      </c>
      <c r="L12" s="304">
        <v>12</v>
      </c>
      <c r="M12" s="304">
        <v>13</v>
      </c>
    </row>
    <row r="13" spans="1:14" ht="136.5" customHeight="1" x14ac:dyDescent="0.2">
      <c r="A13" s="329">
        <v>1</v>
      </c>
      <c r="B13" s="341" t="s">
        <v>18</v>
      </c>
      <c r="C13" s="304" t="s">
        <v>12</v>
      </c>
      <c r="D13" s="304" t="s">
        <v>81</v>
      </c>
      <c r="E13" s="329" t="s">
        <v>54</v>
      </c>
      <c r="F13" s="304" t="s">
        <v>62</v>
      </c>
      <c r="G13" s="302">
        <v>1092630</v>
      </c>
      <c r="H13" s="302">
        <v>150000</v>
      </c>
      <c r="I13" s="302">
        <v>25000</v>
      </c>
      <c r="J13" s="302">
        <v>30000</v>
      </c>
      <c r="K13" s="302">
        <v>35000</v>
      </c>
      <c r="L13" s="302">
        <f t="shared" ref="L13:L21" si="0">SUM(G13:K13)</f>
        <v>1332630</v>
      </c>
      <c r="M13" s="329" t="s">
        <v>576</v>
      </c>
    </row>
    <row r="14" spans="1:14" ht="141.75" customHeight="1" x14ac:dyDescent="0.2">
      <c r="A14" s="329"/>
      <c r="B14" s="341"/>
      <c r="C14" s="304" t="s">
        <v>9</v>
      </c>
      <c r="D14" s="304" t="s">
        <v>534</v>
      </c>
      <c r="E14" s="329"/>
      <c r="F14" s="304" t="str">
        <f>F13</f>
        <v>Бюджет Криворізької міської територіальної громади</v>
      </c>
      <c r="G14" s="302">
        <v>890</v>
      </c>
      <c r="H14" s="302">
        <v>150</v>
      </c>
      <c r="I14" s="302">
        <v>0</v>
      </c>
      <c r="J14" s="302">
        <v>0</v>
      </c>
      <c r="K14" s="302">
        <v>0</v>
      </c>
      <c r="L14" s="302">
        <f t="shared" si="0"/>
        <v>1040</v>
      </c>
      <c r="M14" s="329"/>
    </row>
    <row r="15" spans="1:14" ht="108" customHeight="1" x14ac:dyDescent="0.2">
      <c r="A15" s="329"/>
      <c r="B15" s="341"/>
      <c r="C15" s="329" t="s">
        <v>53</v>
      </c>
      <c r="D15" s="304" t="s">
        <v>81</v>
      </c>
      <c r="E15" s="329"/>
      <c r="F15" s="304" t="str">
        <f>F13</f>
        <v>Бюджет Криворізької міської територіальної громади</v>
      </c>
      <c r="G15" s="302">
        <v>328300</v>
      </c>
      <c r="H15" s="302">
        <v>50000</v>
      </c>
      <c r="I15" s="302">
        <v>50000</v>
      </c>
      <c r="J15" s="302">
        <v>50000</v>
      </c>
      <c r="K15" s="302">
        <v>50000</v>
      </c>
      <c r="L15" s="302">
        <f t="shared" si="0"/>
        <v>528300</v>
      </c>
      <c r="M15" s="329"/>
    </row>
    <row r="16" spans="1:14" ht="55.15" customHeight="1" x14ac:dyDescent="0.2">
      <c r="A16" s="329"/>
      <c r="B16" s="341"/>
      <c r="C16" s="329"/>
      <c r="D16" s="304" t="s">
        <v>533</v>
      </c>
      <c r="E16" s="329"/>
      <c r="F16" s="304" t="s">
        <v>7</v>
      </c>
      <c r="G16" s="302">
        <v>721.5</v>
      </c>
      <c r="H16" s="302">
        <v>0</v>
      </c>
      <c r="I16" s="302">
        <v>0</v>
      </c>
      <c r="J16" s="302">
        <v>0</v>
      </c>
      <c r="K16" s="302">
        <v>0</v>
      </c>
      <c r="L16" s="302">
        <f t="shared" si="0"/>
        <v>721.5</v>
      </c>
      <c r="M16" s="329"/>
    </row>
    <row r="17" spans="1:13" ht="26.25" x14ac:dyDescent="0.2">
      <c r="A17" s="282"/>
      <c r="B17" s="283"/>
      <c r="C17" s="282"/>
      <c r="D17" s="284"/>
      <c r="E17" s="282"/>
      <c r="F17" s="284"/>
      <c r="G17" s="285"/>
      <c r="H17" s="286"/>
      <c r="I17" s="286"/>
      <c r="J17" s="286"/>
      <c r="K17" s="286"/>
      <c r="L17" s="363" t="s">
        <v>43</v>
      </c>
      <c r="M17" s="364"/>
    </row>
    <row r="18" spans="1:13" ht="123.75" customHeight="1" x14ac:dyDescent="0.2">
      <c r="A18" s="304">
        <v>1</v>
      </c>
      <c r="B18" s="304">
        <v>2</v>
      </c>
      <c r="C18" s="304">
        <v>3</v>
      </c>
      <c r="D18" s="304">
        <v>4</v>
      </c>
      <c r="E18" s="304">
        <v>5</v>
      </c>
      <c r="F18" s="304">
        <v>6</v>
      </c>
      <c r="G18" s="304">
        <v>7</v>
      </c>
      <c r="H18" s="304">
        <v>8</v>
      </c>
      <c r="I18" s="304">
        <v>9</v>
      </c>
      <c r="J18" s="304">
        <v>10</v>
      </c>
      <c r="K18" s="304">
        <v>11</v>
      </c>
      <c r="L18" s="304">
        <v>12</v>
      </c>
      <c r="M18" s="304">
        <v>13</v>
      </c>
    </row>
    <row r="19" spans="1:13" ht="135" customHeight="1" x14ac:dyDescent="0.2">
      <c r="A19" s="329"/>
      <c r="B19" s="341"/>
      <c r="C19" s="287" t="s">
        <v>8</v>
      </c>
      <c r="D19" s="304" t="s">
        <v>535</v>
      </c>
      <c r="E19" s="348"/>
      <c r="F19" s="304" t="str">
        <f>F15</f>
        <v>Бюджет Криворізької міської територіальної громади</v>
      </c>
      <c r="G19" s="302">
        <v>9280</v>
      </c>
      <c r="H19" s="302">
        <v>0</v>
      </c>
      <c r="I19" s="302">
        <v>0</v>
      </c>
      <c r="J19" s="302">
        <v>0</v>
      </c>
      <c r="K19" s="302">
        <v>0</v>
      </c>
      <c r="L19" s="302">
        <f t="shared" si="0"/>
        <v>9280</v>
      </c>
      <c r="M19" s="329" t="s">
        <v>558</v>
      </c>
    </row>
    <row r="20" spans="1:13" ht="327" customHeight="1" x14ac:dyDescent="0.2">
      <c r="A20" s="329"/>
      <c r="B20" s="341"/>
      <c r="C20" s="308" t="s">
        <v>16</v>
      </c>
      <c r="D20" s="304" t="s">
        <v>81</v>
      </c>
      <c r="E20" s="349"/>
      <c r="F20" s="304" t="str">
        <f>F19</f>
        <v>Бюджет Криворізької міської територіальної громади</v>
      </c>
      <c r="G20" s="302">
        <v>3900</v>
      </c>
      <c r="H20" s="302">
        <f>500+200</f>
        <v>700</v>
      </c>
      <c r="I20" s="302">
        <f>700</f>
        <v>700</v>
      </c>
      <c r="J20" s="302">
        <v>700</v>
      </c>
      <c r="K20" s="302">
        <v>700</v>
      </c>
      <c r="L20" s="302">
        <f t="shared" si="0"/>
        <v>6700</v>
      </c>
      <c r="M20" s="329"/>
    </row>
    <row r="21" spans="1:13" ht="138" customHeight="1" x14ac:dyDescent="0.2">
      <c r="A21" s="329"/>
      <c r="B21" s="341"/>
      <c r="C21" s="365" t="s">
        <v>19</v>
      </c>
      <c r="D21" s="348" t="s">
        <v>40</v>
      </c>
      <c r="E21" s="349"/>
      <c r="F21" s="304" t="s">
        <v>557</v>
      </c>
      <c r="G21" s="302">
        <v>7290</v>
      </c>
      <c r="H21" s="302" t="s">
        <v>20</v>
      </c>
      <c r="I21" s="302" t="s">
        <v>20</v>
      </c>
      <c r="J21" s="302" t="s">
        <v>20</v>
      </c>
      <c r="K21" s="302" t="s">
        <v>20</v>
      </c>
      <c r="L21" s="302">
        <f t="shared" si="0"/>
        <v>7290</v>
      </c>
      <c r="M21" s="329"/>
    </row>
    <row r="22" spans="1:13" ht="233.25" customHeight="1" x14ac:dyDescent="0.2">
      <c r="A22" s="329"/>
      <c r="B22" s="341"/>
      <c r="C22" s="365"/>
      <c r="D22" s="350"/>
      <c r="E22" s="349"/>
      <c r="F22" s="304" t="str">
        <f>F26</f>
        <v>Бюджет Криворізької міської територіальної громади</v>
      </c>
      <c r="G22" s="302">
        <v>6000</v>
      </c>
      <c r="H22" s="288">
        <v>0</v>
      </c>
      <c r="I22" s="288">
        <v>0</v>
      </c>
      <c r="J22" s="288">
        <v>0</v>
      </c>
      <c r="K22" s="288">
        <v>0</v>
      </c>
      <c r="L22" s="302">
        <f>SUM(G22:K22)</f>
        <v>6000</v>
      </c>
      <c r="M22" s="329"/>
    </row>
    <row r="23" spans="1:13" ht="255" customHeight="1" x14ac:dyDescent="0.2">
      <c r="A23" s="329"/>
      <c r="B23" s="341"/>
      <c r="C23" s="304" t="s">
        <v>559</v>
      </c>
      <c r="D23" s="304" t="s">
        <v>40</v>
      </c>
      <c r="E23" s="350"/>
      <c r="F23" s="304" t="s">
        <v>561</v>
      </c>
      <c r="G23" s="302">
        <v>749.17000000000007</v>
      </c>
      <c r="H23" s="288" t="s">
        <v>20</v>
      </c>
      <c r="I23" s="288" t="s">
        <v>20</v>
      </c>
      <c r="J23" s="288" t="s">
        <v>20</v>
      </c>
      <c r="K23" s="288" t="s">
        <v>20</v>
      </c>
      <c r="L23" s="302">
        <f>SUM(G23:K24)</f>
        <v>749.17000000000007</v>
      </c>
      <c r="M23" s="309" t="s">
        <v>563</v>
      </c>
    </row>
    <row r="24" spans="1:13" ht="153" customHeight="1" x14ac:dyDescent="0.2">
      <c r="A24" s="329"/>
      <c r="B24" s="341"/>
      <c r="C24" s="304" t="s">
        <v>560</v>
      </c>
      <c r="D24" s="304"/>
      <c r="E24" s="329"/>
      <c r="F24" s="304" t="s">
        <v>562</v>
      </c>
      <c r="G24" s="289"/>
      <c r="H24" s="290"/>
      <c r="I24" s="290"/>
      <c r="J24" s="290"/>
      <c r="K24" s="290"/>
      <c r="L24" s="291"/>
      <c r="M24" s="329" t="s">
        <v>564</v>
      </c>
    </row>
    <row r="25" spans="1:13" ht="177.75" customHeight="1" x14ac:dyDescent="0.2">
      <c r="A25" s="329"/>
      <c r="B25" s="341"/>
      <c r="C25" s="304" t="s">
        <v>30</v>
      </c>
      <c r="D25" s="304">
        <v>2017</v>
      </c>
      <c r="E25" s="329"/>
      <c r="F25" s="304" t="str">
        <f>F19</f>
        <v>Бюджет Криворізької міської територіальної громади</v>
      </c>
      <c r="G25" s="302">
        <v>120</v>
      </c>
      <c r="H25" s="288">
        <v>0</v>
      </c>
      <c r="I25" s="288">
        <v>0</v>
      </c>
      <c r="J25" s="288">
        <v>0</v>
      </c>
      <c r="K25" s="288">
        <v>0</v>
      </c>
      <c r="L25" s="302">
        <f>SUM(G25:K25)</f>
        <v>120</v>
      </c>
      <c r="M25" s="329"/>
    </row>
    <row r="26" spans="1:13" ht="198" customHeight="1" x14ac:dyDescent="0.2">
      <c r="A26" s="329"/>
      <c r="B26" s="341"/>
      <c r="C26" s="304" t="s">
        <v>60</v>
      </c>
      <c r="D26" s="304">
        <v>2021</v>
      </c>
      <c r="E26" s="329"/>
      <c r="F26" s="304" t="str">
        <f>F25</f>
        <v>Бюджет Криворізької міської територіальної громади</v>
      </c>
      <c r="G26" s="302">
        <v>272.14999999999998</v>
      </c>
      <c r="H26" s="288">
        <v>0</v>
      </c>
      <c r="I26" s="288">
        <v>0</v>
      </c>
      <c r="J26" s="288">
        <v>0</v>
      </c>
      <c r="K26" s="288">
        <v>0</v>
      </c>
      <c r="L26" s="302">
        <f>SUM(G26:K26)</f>
        <v>272.14999999999998</v>
      </c>
      <c r="M26" s="329"/>
    </row>
    <row r="27" spans="1:13" ht="129" customHeight="1" x14ac:dyDescent="0.2">
      <c r="A27" s="329"/>
      <c r="B27" s="341"/>
      <c r="C27" s="304" t="s">
        <v>36</v>
      </c>
      <c r="D27" s="304" t="s">
        <v>536</v>
      </c>
      <c r="E27" s="309" t="s">
        <v>48</v>
      </c>
      <c r="F27" s="304" t="str">
        <f>F26</f>
        <v>Бюджет Криворізької міської територіальної громади</v>
      </c>
      <c r="G27" s="302">
        <v>3500</v>
      </c>
      <c r="H27" s="302">
        <v>3000</v>
      </c>
      <c r="I27" s="302">
        <v>3000</v>
      </c>
      <c r="J27" s="302">
        <v>3000</v>
      </c>
      <c r="K27" s="302">
        <v>3000</v>
      </c>
      <c r="L27" s="302">
        <f>SUM(G27:K27)</f>
        <v>15500</v>
      </c>
      <c r="M27" s="329"/>
    </row>
    <row r="28" spans="1:13" ht="53.25" customHeight="1" x14ac:dyDescent="0.2">
      <c r="A28" s="341" t="s">
        <v>3</v>
      </c>
      <c r="B28" s="341"/>
      <c r="C28" s="341"/>
      <c r="D28" s="341"/>
      <c r="E28" s="341"/>
      <c r="F28" s="304" t="str">
        <f>F26</f>
        <v>Бюджет Криворізької міської територіальної громади</v>
      </c>
      <c r="G28" s="307">
        <v>1444892.15</v>
      </c>
      <c r="H28" s="307">
        <f>H27+H26+H25+H22+H20+H19+H15+H14+H13</f>
        <v>203850</v>
      </c>
      <c r="I28" s="307">
        <f>I27+I26+I25+I22+I20+I19+I15+I14+I13</f>
        <v>78700</v>
      </c>
      <c r="J28" s="307">
        <f>J27+J26+J25+J22+J20+J19+J15+J14+J13</f>
        <v>83700</v>
      </c>
      <c r="K28" s="307">
        <f>K27+K26+K25+K22+K20+K19+K15+K14+K13</f>
        <v>88700</v>
      </c>
      <c r="L28" s="307">
        <f>SUM(G28:K28)</f>
        <v>1899842.15</v>
      </c>
      <c r="M28" s="329"/>
    </row>
    <row r="29" spans="1:13" ht="335.25" customHeight="1" x14ac:dyDescent="0.2">
      <c r="A29" s="341"/>
      <c r="B29" s="341"/>
      <c r="C29" s="341"/>
      <c r="D29" s="341"/>
      <c r="E29" s="341"/>
      <c r="F29" s="304" t="s">
        <v>51</v>
      </c>
      <c r="G29" s="307">
        <v>721.5</v>
      </c>
      <c r="H29" s="307">
        <v>0</v>
      </c>
      <c r="I29" s="307">
        <v>0</v>
      </c>
      <c r="J29" s="307">
        <v>0</v>
      </c>
      <c r="K29" s="307">
        <v>0</v>
      </c>
      <c r="L29" s="307">
        <f>SUM(G29:J29)</f>
        <v>721.5</v>
      </c>
      <c r="M29" s="329"/>
    </row>
    <row r="30" spans="1:13" ht="301.5" customHeight="1" x14ac:dyDescent="0.2">
      <c r="A30" s="341"/>
      <c r="B30" s="341"/>
      <c r="C30" s="341"/>
      <c r="D30" s="341"/>
      <c r="E30" s="341"/>
      <c r="F30" s="304" t="s">
        <v>577</v>
      </c>
      <c r="G30" s="307">
        <v>7290</v>
      </c>
      <c r="H30" s="307" t="str">
        <f>H21</f>
        <v>*</v>
      </c>
      <c r="I30" s="307" t="str">
        <f>I21</f>
        <v>*</v>
      </c>
      <c r="J30" s="307" t="str">
        <f>J21</f>
        <v>*</v>
      </c>
      <c r="K30" s="307" t="str">
        <f>K21</f>
        <v>*</v>
      </c>
      <c r="L30" s="307">
        <f>SUM(G30:K30)</f>
        <v>7290</v>
      </c>
      <c r="M30" s="329"/>
    </row>
    <row r="31" spans="1:13" ht="4.1500000000000004" hidden="1" customHeight="1" x14ac:dyDescent="0.2">
      <c r="A31" s="341"/>
      <c r="B31" s="341"/>
      <c r="C31" s="341"/>
      <c r="D31" s="341"/>
      <c r="E31" s="341"/>
      <c r="F31" s="329" t="s">
        <v>44</v>
      </c>
      <c r="G31" s="315">
        <v>749.17000000000007</v>
      </c>
      <c r="H31" s="315" t="s">
        <v>20</v>
      </c>
      <c r="I31" s="315" t="s">
        <v>20</v>
      </c>
      <c r="J31" s="315" t="s">
        <v>20</v>
      </c>
      <c r="K31" s="315" t="s">
        <v>20</v>
      </c>
      <c r="L31" s="315">
        <f>SUM(G31:K33)</f>
        <v>749.17000000000007</v>
      </c>
      <c r="M31" s="329"/>
    </row>
    <row r="32" spans="1:13" ht="181.5" customHeight="1" x14ac:dyDescent="0.2">
      <c r="A32" s="341"/>
      <c r="B32" s="341"/>
      <c r="C32" s="341"/>
      <c r="D32" s="341"/>
      <c r="E32" s="341"/>
      <c r="F32" s="329"/>
      <c r="G32" s="315"/>
      <c r="H32" s="315"/>
      <c r="I32" s="315"/>
      <c r="J32" s="315"/>
      <c r="K32" s="315"/>
      <c r="L32" s="315"/>
      <c r="M32" s="329"/>
    </row>
    <row r="33" spans="1:54" s="9" customFormat="1" ht="180.75" customHeight="1" x14ac:dyDescent="0.2">
      <c r="A33" s="341"/>
      <c r="B33" s="341"/>
      <c r="C33" s="341"/>
      <c r="D33" s="341"/>
      <c r="E33" s="341"/>
      <c r="F33" s="329"/>
      <c r="G33" s="315"/>
      <c r="H33" s="315"/>
      <c r="I33" s="315"/>
      <c r="J33" s="315"/>
      <c r="K33" s="315"/>
      <c r="L33" s="315"/>
      <c r="M33" s="329"/>
      <c r="N33" s="252"/>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c r="AY33" s="3"/>
      <c r="AZ33" s="3"/>
      <c r="BA33" s="3"/>
      <c r="BB33" s="3"/>
    </row>
    <row r="34" spans="1:54" ht="227.25" customHeight="1" x14ac:dyDescent="0.2">
      <c r="A34" s="304">
        <v>2</v>
      </c>
      <c r="B34" s="303" t="s">
        <v>24</v>
      </c>
      <c r="C34" s="313" t="s">
        <v>567</v>
      </c>
      <c r="D34" s="304" t="s">
        <v>81</v>
      </c>
      <c r="E34" s="304" t="s">
        <v>52</v>
      </c>
      <c r="F34" s="304" t="str">
        <f>F26</f>
        <v>Бюджет Криворізької міської територіальної громади</v>
      </c>
      <c r="G34" s="302">
        <v>621.5</v>
      </c>
      <c r="H34" s="302">
        <v>150</v>
      </c>
      <c r="I34" s="302">
        <f>5+55</f>
        <v>60</v>
      </c>
      <c r="J34" s="302">
        <v>68</v>
      </c>
      <c r="K34" s="302">
        <v>73</v>
      </c>
      <c r="L34" s="302">
        <f>SUM(G34:K34)</f>
        <v>972.5</v>
      </c>
      <c r="M34" s="309" t="s">
        <v>566</v>
      </c>
    </row>
    <row r="35" spans="1:54" ht="264" customHeight="1" x14ac:dyDescent="0.2">
      <c r="A35" s="329"/>
      <c r="B35" s="341"/>
      <c r="C35" s="313" t="s">
        <v>565</v>
      </c>
      <c r="D35" s="304"/>
      <c r="E35" s="329"/>
      <c r="F35" s="291"/>
      <c r="G35" s="302"/>
      <c r="H35" s="289"/>
      <c r="I35" s="289"/>
      <c r="J35" s="289"/>
      <c r="K35" s="289"/>
      <c r="L35" s="289"/>
      <c r="M35" s="329" t="s">
        <v>578</v>
      </c>
    </row>
    <row r="36" spans="1:54" ht="341.25" customHeight="1" x14ac:dyDescent="0.2">
      <c r="A36" s="329"/>
      <c r="B36" s="341"/>
      <c r="C36" s="356" t="s">
        <v>69</v>
      </c>
      <c r="D36" s="329" t="s">
        <v>81</v>
      </c>
      <c r="E36" s="329"/>
      <c r="F36" s="329" t="str">
        <f>F34</f>
        <v>Бюджет Криворізької міської територіальної громади</v>
      </c>
      <c r="G36" s="323">
        <v>3886.66</v>
      </c>
      <c r="H36" s="323">
        <v>1200</v>
      </c>
      <c r="I36" s="323">
        <f>50</f>
        <v>50</v>
      </c>
      <c r="J36" s="323">
        <v>57</v>
      </c>
      <c r="K36" s="323">
        <v>61</v>
      </c>
      <c r="L36" s="323">
        <f>SUM(G36:K37)</f>
        <v>5254.66</v>
      </c>
      <c r="M36" s="329"/>
    </row>
    <row r="37" spans="1:54" ht="135" customHeight="1" x14ac:dyDescent="0.2">
      <c r="A37" s="329"/>
      <c r="B37" s="341"/>
      <c r="C37" s="357"/>
      <c r="D37" s="328"/>
      <c r="E37" s="329"/>
      <c r="F37" s="358"/>
      <c r="G37" s="323"/>
      <c r="H37" s="358"/>
      <c r="I37" s="358"/>
      <c r="J37" s="358"/>
      <c r="K37" s="323"/>
      <c r="L37" s="358"/>
      <c r="M37" s="329"/>
    </row>
    <row r="38" spans="1:54" ht="354" customHeight="1" x14ac:dyDescent="0.2">
      <c r="A38" s="329"/>
      <c r="B38" s="341"/>
      <c r="C38" s="311" t="s">
        <v>14</v>
      </c>
      <c r="D38" s="304" t="s">
        <v>533</v>
      </c>
      <c r="E38" s="329"/>
      <c r="F38" s="304" t="str">
        <f>F36</f>
        <v>Бюджет Криворізької міської територіальної громади</v>
      </c>
      <c r="G38" s="302">
        <v>12050</v>
      </c>
      <c r="H38" s="302">
        <v>0</v>
      </c>
      <c r="I38" s="302">
        <v>0</v>
      </c>
      <c r="J38" s="302">
        <v>0</v>
      </c>
      <c r="K38" s="302">
        <v>0</v>
      </c>
      <c r="L38" s="302">
        <f t="shared" ref="L38:L43" si="1">SUM(G38:K38)</f>
        <v>12050</v>
      </c>
      <c r="M38" s="329"/>
    </row>
    <row r="39" spans="1:54" ht="132.75" customHeight="1" x14ac:dyDescent="0.2">
      <c r="A39" s="329"/>
      <c r="B39" s="341"/>
      <c r="C39" s="356" t="s">
        <v>547</v>
      </c>
      <c r="D39" s="304">
        <v>2018</v>
      </c>
      <c r="E39" s="329"/>
      <c r="F39" s="304" t="s">
        <v>608</v>
      </c>
      <c r="G39" s="302">
        <v>2000</v>
      </c>
      <c r="H39" s="302">
        <v>0</v>
      </c>
      <c r="I39" s="302">
        <v>0</v>
      </c>
      <c r="J39" s="302">
        <v>0</v>
      </c>
      <c r="K39" s="302">
        <v>0</v>
      </c>
      <c r="L39" s="302">
        <f t="shared" si="1"/>
        <v>2000</v>
      </c>
      <c r="M39" s="329"/>
    </row>
    <row r="40" spans="1:54" ht="131.25" x14ac:dyDescent="0.2">
      <c r="A40" s="329"/>
      <c r="B40" s="341"/>
      <c r="C40" s="356"/>
      <c r="D40" s="304">
        <v>2018</v>
      </c>
      <c r="E40" s="329"/>
      <c r="F40" s="304" t="str">
        <f>F36</f>
        <v>Бюджет Криворізької міської територіальної громади</v>
      </c>
      <c r="G40" s="302">
        <v>2140</v>
      </c>
      <c r="H40" s="302">
        <v>0</v>
      </c>
      <c r="I40" s="302">
        <v>0</v>
      </c>
      <c r="J40" s="302">
        <v>0</v>
      </c>
      <c r="K40" s="302">
        <v>0</v>
      </c>
      <c r="L40" s="302">
        <f t="shared" si="1"/>
        <v>2140</v>
      </c>
      <c r="M40" s="329"/>
    </row>
    <row r="41" spans="1:54" ht="138" customHeight="1" x14ac:dyDescent="0.2">
      <c r="A41" s="329"/>
      <c r="B41" s="341"/>
      <c r="C41" s="359" t="s">
        <v>15</v>
      </c>
      <c r="D41" s="329" t="s">
        <v>81</v>
      </c>
      <c r="E41" s="329"/>
      <c r="F41" s="304" t="s">
        <v>7</v>
      </c>
      <c r="G41" s="302">
        <v>4880</v>
      </c>
      <c r="H41" s="302">
        <v>0</v>
      </c>
      <c r="I41" s="302">
        <v>0</v>
      </c>
      <c r="J41" s="302">
        <v>0</v>
      </c>
      <c r="K41" s="302">
        <v>0</v>
      </c>
      <c r="L41" s="302">
        <f t="shared" si="1"/>
        <v>4880</v>
      </c>
      <c r="M41" s="329"/>
    </row>
    <row r="42" spans="1:54" s="9" customFormat="1" ht="291" customHeight="1" x14ac:dyDescent="0.2">
      <c r="A42" s="329"/>
      <c r="B42" s="341"/>
      <c r="C42" s="359"/>
      <c r="D42" s="329"/>
      <c r="E42" s="329"/>
      <c r="F42" s="304" t="str">
        <f>F40</f>
        <v>Бюджет Криворізької міської територіальної громади</v>
      </c>
      <c r="G42" s="302">
        <v>641.82000000000005</v>
      </c>
      <c r="H42" s="302">
        <v>188</v>
      </c>
      <c r="I42" s="302">
        <v>84</v>
      </c>
      <c r="J42" s="302">
        <v>94500</v>
      </c>
      <c r="K42" s="302">
        <v>101780</v>
      </c>
      <c r="L42" s="302">
        <f t="shared" si="1"/>
        <v>197193.82</v>
      </c>
      <c r="M42" s="329"/>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row>
    <row r="43" spans="1:54" s="255" customFormat="1" ht="150.75" customHeight="1" x14ac:dyDescent="0.2">
      <c r="A43" s="329"/>
      <c r="B43" s="341"/>
      <c r="C43" s="313" t="s">
        <v>631</v>
      </c>
      <c r="D43" s="304" t="s">
        <v>55</v>
      </c>
      <c r="E43" s="329"/>
      <c r="F43" s="304" t="str">
        <f t="shared" ref="F43:F50" si="2">F42</f>
        <v>Бюджет Криворізької міської територіальної громади</v>
      </c>
      <c r="G43" s="302">
        <v>2065</v>
      </c>
      <c r="H43" s="302">
        <f>1000+500</f>
        <v>1500</v>
      </c>
      <c r="I43" s="302">
        <f>5+200+76+2000</f>
        <v>2281</v>
      </c>
      <c r="J43" s="302">
        <f>6+270+85+2500</f>
        <v>2861</v>
      </c>
      <c r="K43" s="302">
        <f>7+290+92+3000</f>
        <v>3389</v>
      </c>
      <c r="L43" s="302">
        <f t="shared" si="1"/>
        <v>12096</v>
      </c>
      <c r="M43" s="329"/>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c r="AZ43" s="3"/>
      <c r="BA43" s="3"/>
      <c r="BB43" s="3"/>
    </row>
    <row r="44" spans="1:54" ht="161.25" customHeight="1" x14ac:dyDescent="0.2">
      <c r="A44" s="329"/>
      <c r="B44" s="341"/>
      <c r="C44" s="313" t="s">
        <v>632</v>
      </c>
      <c r="D44" s="304"/>
      <c r="E44" s="329"/>
      <c r="F44" s="304"/>
      <c r="G44" s="302"/>
      <c r="H44" s="302"/>
      <c r="I44" s="307"/>
      <c r="J44" s="302"/>
      <c r="K44" s="302"/>
      <c r="L44" s="302"/>
      <c r="M44" s="329"/>
    </row>
    <row r="45" spans="1:54" ht="88.5" customHeight="1" x14ac:dyDescent="0.2">
      <c r="A45" s="329"/>
      <c r="B45" s="341"/>
      <c r="C45" s="359" t="s">
        <v>624</v>
      </c>
      <c r="D45" s="329" t="s">
        <v>534</v>
      </c>
      <c r="E45" s="329"/>
      <c r="F45" s="329" t="str">
        <f>F43</f>
        <v>Бюджет Криворізької міської територіальної громади</v>
      </c>
      <c r="G45" s="323">
        <v>1202.9000000000001</v>
      </c>
      <c r="H45" s="323">
        <v>100</v>
      </c>
      <c r="I45" s="323">
        <v>0</v>
      </c>
      <c r="J45" s="323">
        <v>0</v>
      </c>
      <c r="K45" s="323">
        <v>0</v>
      </c>
      <c r="L45" s="323">
        <f>SUM(G45:K46)</f>
        <v>1302.9000000000001</v>
      </c>
      <c r="M45" s="329"/>
    </row>
    <row r="46" spans="1:54" ht="222.75" customHeight="1" x14ac:dyDescent="0.2">
      <c r="A46" s="329"/>
      <c r="B46" s="341"/>
      <c r="C46" s="359"/>
      <c r="D46" s="329"/>
      <c r="E46" s="329"/>
      <c r="F46" s="329"/>
      <c r="G46" s="323"/>
      <c r="H46" s="328"/>
      <c r="I46" s="323"/>
      <c r="J46" s="323"/>
      <c r="K46" s="323"/>
      <c r="L46" s="323"/>
      <c r="M46" s="329"/>
    </row>
    <row r="47" spans="1:54" ht="293.25" customHeight="1" x14ac:dyDescent="0.2">
      <c r="A47" s="329"/>
      <c r="B47" s="341"/>
      <c r="C47" s="313" t="s">
        <v>609</v>
      </c>
      <c r="D47" s="304" t="s">
        <v>533</v>
      </c>
      <c r="E47" s="329"/>
      <c r="F47" s="304" t="str">
        <f>F45</f>
        <v>Бюджет Криворізької міської територіальної громади</v>
      </c>
      <c r="G47" s="302">
        <v>141</v>
      </c>
      <c r="H47" s="302">
        <v>0</v>
      </c>
      <c r="I47" s="302">
        <v>0</v>
      </c>
      <c r="J47" s="302">
        <v>0</v>
      </c>
      <c r="K47" s="302">
        <v>0</v>
      </c>
      <c r="L47" s="302">
        <f>SUM(G47:K47)</f>
        <v>141</v>
      </c>
      <c r="M47" s="329"/>
    </row>
    <row r="48" spans="1:54" ht="195" customHeight="1" x14ac:dyDescent="0.2">
      <c r="A48" s="329"/>
      <c r="B48" s="341"/>
      <c r="C48" s="313" t="s">
        <v>63</v>
      </c>
      <c r="D48" s="304" t="s">
        <v>537</v>
      </c>
      <c r="E48" s="329"/>
      <c r="F48" s="304" t="str">
        <f t="shared" si="2"/>
        <v>Бюджет Криворізької міської територіальної громади</v>
      </c>
      <c r="G48" s="302">
        <v>600</v>
      </c>
      <c r="H48" s="302">
        <v>400</v>
      </c>
      <c r="I48" s="302">
        <v>0</v>
      </c>
      <c r="J48" s="302">
        <v>0</v>
      </c>
      <c r="K48" s="302">
        <v>0</v>
      </c>
      <c r="L48" s="302">
        <f>SUM(G48:K48)</f>
        <v>1000</v>
      </c>
      <c r="M48" s="329"/>
    </row>
    <row r="49" spans="1:54" ht="124.9" customHeight="1" x14ac:dyDescent="0.2">
      <c r="A49" s="292"/>
      <c r="B49" s="293"/>
      <c r="C49" s="294" t="s">
        <v>26</v>
      </c>
      <c r="D49" s="305">
        <v>2020</v>
      </c>
      <c r="E49" s="292"/>
      <c r="F49" s="305" t="str">
        <f t="shared" si="2"/>
        <v>Бюджет Криворізької міської територіальної громади</v>
      </c>
      <c r="G49" s="312">
        <v>16000.8</v>
      </c>
      <c r="H49" s="312">
        <v>0</v>
      </c>
      <c r="I49" s="312">
        <v>0</v>
      </c>
      <c r="J49" s="312">
        <v>0</v>
      </c>
      <c r="K49" s="312">
        <v>0</v>
      </c>
      <c r="L49" s="312">
        <f>SUM(G49:K49)</f>
        <v>16000.8</v>
      </c>
      <c r="M49" s="292"/>
    </row>
    <row r="50" spans="1:54" s="9" customFormat="1" ht="68.25" customHeight="1" x14ac:dyDescent="0.2">
      <c r="A50" s="331" t="s">
        <v>3</v>
      </c>
      <c r="B50" s="332"/>
      <c r="C50" s="332"/>
      <c r="D50" s="332"/>
      <c r="E50" s="333"/>
      <c r="F50" s="304" t="str">
        <f t="shared" si="2"/>
        <v>Бюджет Криворізької міської територіальної громади</v>
      </c>
      <c r="G50" s="307">
        <v>39349.68</v>
      </c>
      <c r="H50" s="307">
        <f>SUM(H34:H49)-H39-H41</f>
        <v>3538</v>
      </c>
      <c r="I50" s="307">
        <f>SUM(I34:I49)-I39-I41</f>
        <v>2475</v>
      </c>
      <c r="J50" s="307">
        <f>SUM(J34:J49)-J39-J41</f>
        <v>97486</v>
      </c>
      <c r="K50" s="307">
        <f>SUM(K34:K49)-K39-K41</f>
        <v>105303</v>
      </c>
      <c r="L50" s="307">
        <f>SUM(L34:L49)-L39-L41</f>
        <v>248151.67999999999</v>
      </c>
      <c r="M50" s="352"/>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c r="AY50" s="3"/>
      <c r="AZ50" s="3"/>
      <c r="BA50" s="3"/>
      <c r="BB50" s="3"/>
    </row>
    <row r="51" spans="1:54" ht="167.45" customHeight="1" x14ac:dyDescent="0.2">
      <c r="A51" s="334"/>
      <c r="B51" s="335"/>
      <c r="C51" s="335"/>
      <c r="D51" s="335"/>
      <c r="E51" s="336"/>
      <c r="F51" s="304" t="s">
        <v>7</v>
      </c>
      <c r="G51" s="307">
        <v>4880</v>
      </c>
      <c r="H51" s="307">
        <f>H41</f>
        <v>0</v>
      </c>
      <c r="I51" s="307">
        <f>I41</f>
        <v>0</v>
      </c>
      <c r="J51" s="307">
        <f>J41</f>
        <v>0</v>
      </c>
      <c r="K51" s="307">
        <f>K41</f>
        <v>0</v>
      </c>
      <c r="L51" s="307">
        <f>SUM(G51:K51)</f>
        <v>4880</v>
      </c>
      <c r="M51" s="353"/>
    </row>
    <row r="52" spans="1:54" ht="291" customHeight="1" x14ac:dyDescent="0.2">
      <c r="A52" s="334"/>
      <c r="B52" s="335"/>
      <c r="C52" s="335"/>
      <c r="D52" s="335"/>
      <c r="E52" s="336"/>
      <c r="F52" s="349" t="s">
        <v>610</v>
      </c>
      <c r="G52" s="324">
        <v>2000</v>
      </c>
      <c r="H52" s="342">
        <f>H39</f>
        <v>0</v>
      </c>
      <c r="I52" s="342">
        <v>0</v>
      </c>
      <c r="J52" s="342">
        <f>J39</f>
        <v>0</v>
      </c>
      <c r="K52" s="324">
        <v>0</v>
      </c>
      <c r="L52" s="342">
        <f>L39</f>
        <v>2000</v>
      </c>
      <c r="M52" s="353"/>
    </row>
    <row r="53" spans="1:54" ht="177.75" customHeight="1" x14ac:dyDescent="0.2">
      <c r="A53" s="337"/>
      <c r="B53" s="338"/>
      <c r="C53" s="338"/>
      <c r="D53" s="338"/>
      <c r="E53" s="339"/>
      <c r="F53" s="350"/>
      <c r="G53" s="325"/>
      <c r="H53" s="325"/>
      <c r="I53" s="325"/>
      <c r="J53" s="325"/>
      <c r="K53" s="325"/>
      <c r="L53" s="325"/>
      <c r="M53" s="354"/>
    </row>
    <row r="54" spans="1:54" ht="250.5" customHeight="1" x14ac:dyDescent="0.2">
      <c r="A54" s="329">
        <v>3</v>
      </c>
      <c r="B54" s="341" t="s">
        <v>611</v>
      </c>
      <c r="C54" s="313" t="s">
        <v>23</v>
      </c>
      <c r="D54" s="304" t="s">
        <v>39</v>
      </c>
      <c r="E54" s="329" t="s">
        <v>52</v>
      </c>
      <c r="F54" s="304" t="str">
        <f>F50</f>
        <v>Бюджет Криворізької міської територіальної громади</v>
      </c>
      <c r="G54" s="302">
        <v>2190</v>
      </c>
      <c r="H54" s="302">
        <v>0</v>
      </c>
      <c r="I54" s="302">
        <v>0</v>
      </c>
      <c r="J54" s="302">
        <v>0</v>
      </c>
      <c r="K54" s="302">
        <v>0</v>
      </c>
      <c r="L54" s="302">
        <f t="shared" ref="L54:L59" si="3">SUM(G54:K54)</f>
        <v>2190</v>
      </c>
      <c r="M54" s="329" t="s">
        <v>13</v>
      </c>
    </row>
    <row r="55" spans="1:54" s="9" customFormat="1" ht="129" customHeight="1" x14ac:dyDescent="0.2">
      <c r="A55" s="329"/>
      <c r="B55" s="341"/>
      <c r="C55" s="313" t="s">
        <v>32</v>
      </c>
      <c r="D55" s="304">
        <v>2022</v>
      </c>
      <c r="E55" s="329"/>
      <c r="F55" s="304" t="s">
        <v>62</v>
      </c>
      <c r="G55" s="302">
        <v>1000</v>
      </c>
      <c r="H55" s="302">
        <v>0</v>
      </c>
      <c r="I55" s="302">
        <v>0</v>
      </c>
      <c r="J55" s="302">
        <v>0</v>
      </c>
      <c r="K55" s="302">
        <v>0</v>
      </c>
      <c r="L55" s="302">
        <f t="shared" si="3"/>
        <v>1000</v>
      </c>
      <c r="M55" s="329"/>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c r="AY55" s="3"/>
      <c r="AZ55" s="3"/>
      <c r="BA55" s="3"/>
      <c r="BB55" s="3"/>
    </row>
    <row r="56" spans="1:54" ht="231" customHeight="1" x14ac:dyDescent="0.2">
      <c r="A56" s="329"/>
      <c r="B56" s="341"/>
      <c r="C56" s="313" t="s">
        <v>28</v>
      </c>
      <c r="D56" s="304" t="s">
        <v>535</v>
      </c>
      <c r="E56" s="329"/>
      <c r="F56" s="304" t="str">
        <f>F54</f>
        <v>Бюджет Криворізької міської територіальної громади</v>
      </c>
      <c r="G56" s="302">
        <v>6251</v>
      </c>
      <c r="H56" s="302">
        <v>0</v>
      </c>
      <c r="I56" s="302">
        <v>0</v>
      </c>
      <c r="J56" s="302">
        <v>0</v>
      </c>
      <c r="K56" s="302">
        <v>0</v>
      </c>
      <c r="L56" s="302">
        <f t="shared" si="3"/>
        <v>6251</v>
      </c>
      <c r="M56" s="329"/>
    </row>
    <row r="57" spans="1:54" ht="166.5" customHeight="1" x14ac:dyDescent="0.2">
      <c r="A57" s="329"/>
      <c r="B57" s="341"/>
      <c r="C57" s="313" t="s">
        <v>61</v>
      </c>
      <c r="D57" s="304" t="s">
        <v>538</v>
      </c>
      <c r="E57" s="329"/>
      <c r="F57" s="304" t="str">
        <f>F56</f>
        <v>Бюджет Криворізької міської територіальної громади</v>
      </c>
      <c r="G57" s="302">
        <v>66360</v>
      </c>
      <c r="H57" s="302">
        <v>13000</v>
      </c>
      <c r="I57" s="302">
        <f>9000+2500</f>
        <v>11500</v>
      </c>
      <c r="J57" s="302">
        <f>9500+2900</f>
        <v>12400</v>
      </c>
      <c r="K57" s="302">
        <f>9500+3000</f>
        <v>12500</v>
      </c>
      <c r="L57" s="302">
        <f t="shared" si="3"/>
        <v>115760</v>
      </c>
      <c r="M57" s="329"/>
    </row>
    <row r="58" spans="1:54" ht="156" customHeight="1" x14ac:dyDescent="0.2">
      <c r="A58" s="329"/>
      <c r="B58" s="341"/>
      <c r="C58" s="313" t="s">
        <v>612</v>
      </c>
      <c r="D58" s="304" t="s">
        <v>42</v>
      </c>
      <c r="E58" s="329"/>
      <c r="F58" s="304" t="str">
        <f t="shared" ref="F58:F68" si="4">F57</f>
        <v>Бюджет Криворізької міської територіальної громади</v>
      </c>
      <c r="G58" s="302">
        <v>50000</v>
      </c>
      <c r="H58" s="302">
        <v>0</v>
      </c>
      <c r="I58" s="302">
        <v>0</v>
      </c>
      <c r="J58" s="302">
        <v>0</v>
      </c>
      <c r="K58" s="302">
        <v>0</v>
      </c>
      <c r="L58" s="302">
        <f t="shared" si="3"/>
        <v>50000</v>
      </c>
      <c r="M58" s="329"/>
    </row>
    <row r="59" spans="1:54" ht="148.5" customHeight="1" x14ac:dyDescent="0.2">
      <c r="A59" s="291"/>
      <c r="B59" s="295"/>
      <c r="C59" s="313" t="s">
        <v>29</v>
      </c>
      <c r="D59" s="304" t="s">
        <v>539</v>
      </c>
      <c r="E59" s="291"/>
      <c r="F59" s="304" t="str">
        <f t="shared" si="4"/>
        <v>Бюджет Криворізької міської територіальної громади</v>
      </c>
      <c r="G59" s="302">
        <v>940</v>
      </c>
      <c r="H59" s="302">
        <v>0</v>
      </c>
      <c r="I59" s="302">
        <v>0</v>
      </c>
      <c r="J59" s="302">
        <v>0</v>
      </c>
      <c r="K59" s="302">
        <v>0</v>
      </c>
      <c r="L59" s="302">
        <f t="shared" si="3"/>
        <v>940</v>
      </c>
      <c r="M59" s="291"/>
    </row>
    <row r="60" spans="1:54" ht="146.25" customHeight="1" x14ac:dyDescent="0.2">
      <c r="A60" s="355" t="s">
        <v>3</v>
      </c>
      <c r="B60" s="355"/>
      <c r="C60" s="355"/>
      <c r="D60" s="355"/>
      <c r="E60" s="355"/>
      <c r="F60" s="304" t="str">
        <f t="shared" si="4"/>
        <v>Бюджет Криворізької міської територіальної громади</v>
      </c>
      <c r="G60" s="307">
        <v>126741</v>
      </c>
      <c r="H60" s="307">
        <f>H59+H58+H57+H56+H55+H54</f>
        <v>13000</v>
      </c>
      <c r="I60" s="307">
        <f>I59+I58+I57+I56+I55+I54</f>
        <v>11500</v>
      </c>
      <c r="J60" s="307">
        <f>J59+J58+J57+J56+J55+J54</f>
        <v>12400</v>
      </c>
      <c r="K60" s="307">
        <f>K59+K58+K57+K56+K55+K54</f>
        <v>12500</v>
      </c>
      <c r="L60" s="307">
        <f>SUM(L54:L59)</f>
        <v>176141</v>
      </c>
      <c r="M60" s="296"/>
    </row>
    <row r="61" spans="1:54" ht="151.5" customHeight="1" x14ac:dyDescent="0.2">
      <c r="A61" s="348">
        <v>4</v>
      </c>
      <c r="B61" s="345" t="s">
        <v>613</v>
      </c>
      <c r="C61" s="304" t="s">
        <v>10</v>
      </c>
      <c r="D61" s="304" t="s">
        <v>39</v>
      </c>
      <c r="E61" s="348" t="s">
        <v>580</v>
      </c>
      <c r="F61" s="304" t="str">
        <f t="shared" si="4"/>
        <v>Бюджет Криворізької міської територіальної громади</v>
      </c>
      <c r="G61" s="302">
        <v>248166.29</v>
      </c>
      <c r="H61" s="302">
        <v>0</v>
      </c>
      <c r="I61" s="302">
        <v>0</v>
      </c>
      <c r="J61" s="302">
        <v>0</v>
      </c>
      <c r="K61" s="302">
        <v>0</v>
      </c>
      <c r="L61" s="302">
        <f>SUM(G61:K61)</f>
        <v>248166.29</v>
      </c>
      <c r="M61" s="326" t="s">
        <v>579</v>
      </c>
    </row>
    <row r="62" spans="1:54" ht="144.75" customHeight="1" x14ac:dyDescent="0.2">
      <c r="A62" s="349"/>
      <c r="B62" s="346"/>
      <c r="C62" s="304" t="s">
        <v>73</v>
      </c>
      <c r="D62" s="304">
        <v>2022</v>
      </c>
      <c r="E62" s="349"/>
      <c r="F62" s="304" t="str">
        <f t="shared" si="4"/>
        <v>Бюджет Криворізької міської територіальної громади</v>
      </c>
      <c r="G62" s="302">
        <v>75000</v>
      </c>
      <c r="H62" s="302">
        <v>0</v>
      </c>
      <c r="I62" s="302">
        <v>0</v>
      </c>
      <c r="J62" s="302">
        <v>0</v>
      </c>
      <c r="K62" s="302">
        <v>0</v>
      </c>
      <c r="L62" s="302">
        <f>SUM(G62:K62)</f>
        <v>75000</v>
      </c>
      <c r="M62" s="351"/>
    </row>
    <row r="63" spans="1:54" ht="146.25" customHeight="1" x14ac:dyDescent="0.2">
      <c r="A63" s="349"/>
      <c r="B63" s="346"/>
      <c r="C63" s="304" t="s">
        <v>74</v>
      </c>
      <c r="D63" s="304" t="s">
        <v>533</v>
      </c>
      <c r="E63" s="349"/>
      <c r="F63" s="304" t="str">
        <f>F61</f>
        <v>Бюджет Криворізької міської територіальної громади</v>
      </c>
      <c r="G63" s="302">
        <v>24000</v>
      </c>
      <c r="H63" s="302">
        <v>0</v>
      </c>
      <c r="I63" s="302">
        <v>0</v>
      </c>
      <c r="J63" s="302">
        <v>0</v>
      </c>
      <c r="K63" s="302">
        <v>0</v>
      </c>
      <c r="L63" s="302">
        <f>SUM(G63:K63)</f>
        <v>24000</v>
      </c>
      <c r="M63" s="351"/>
    </row>
    <row r="64" spans="1:54" ht="66" customHeight="1" x14ac:dyDescent="0.2">
      <c r="A64" s="349"/>
      <c r="B64" s="346"/>
      <c r="C64" s="329" t="s">
        <v>75</v>
      </c>
      <c r="D64" s="329" t="s">
        <v>40</v>
      </c>
      <c r="E64" s="349"/>
      <c r="F64" s="329" t="str">
        <f t="shared" si="4"/>
        <v>Бюджет Криворізької міської територіальної громади</v>
      </c>
      <c r="G64" s="326">
        <v>16000</v>
      </c>
      <c r="H64" s="326">
        <v>0</v>
      </c>
      <c r="I64" s="326">
        <v>0</v>
      </c>
      <c r="J64" s="326">
        <v>0</v>
      </c>
      <c r="K64" s="326">
        <v>0</v>
      </c>
      <c r="L64" s="323">
        <f>SUM(G64:K65)</f>
        <v>16000</v>
      </c>
      <c r="M64" s="351"/>
    </row>
    <row r="65" spans="1:54" s="9" customFormat="1" ht="131.25" customHeight="1" x14ac:dyDescent="0.2">
      <c r="A65" s="350"/>
      <c r="B65" s="347"/>
      <c r="C65" s="329"/>
      <c r="D65" s="329"/>
      <c r="E65" s="350"/>
      <c r="F65" s="329"/>
      <c r="G65" s="327"/>
      <c r="H65" s="343"/>
      <c r="I65" s="343"/>
      <c r="J65" s="343"/>
      <c r="K65" s="327"/>
      <c r="L65" s="323"/>
      <c r="M65" s="327"/>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c r="AY65" s="3"/>
      <c r="AZ65" s="3"/>
      <c r="BA65" s="3"/>
      <c r="BB65" s="3"/>
    </row>
    <row r="66" spans="1:54" ht="144" customHeight="1" x14ac:dyDescent="0.2">
      <c r="A66" s="329"/>
      <c r="B66" s="341"/>
      <c r="C66" s="304" t="s">
        <v>33</v>
      </c>
      <c r="D66" s="304">
        <v>2017</v>
      </c>
      <c r="E66" s="329"/>
      <c r="F66" s="304" t="str">
        <f>F64</f>
        <v>Бюджет Криворізької міської територіальної громади</v>
      </c>
      <c r="G66" s="302">
        <v>1500</v>
      </c>
      <c r="H66" s="302">
        <v>0</v>
      </c>
      <c r="I66" s="302">
        <v>0</v>
      </c>
      <c r="J66" s="302">
        <v>0</v>
      </c>
      <c r="K66" s="302">
        <v>0</v>
      </c>
      <c r="L66" s="302">
        <f>SUM(G66:K66)</f>
        <v>1500</v>
      </c>
      <c r="M66" s="323"/>
    </row>
    <row r="67" spans="1:54" ht="290.25" customHeight="1" x14ac:dyDescent="0.2">
      <c r="A67" s="329"/>
      <c r="B67" s="341"/>
      <c r="C67" s="304" t="s">
        <v>34</v>
      </c>
      <c r="D67" s="304">
        <v>2017</v>
      </c>
      <c r="E67" s="329"/>
      <c r="F67" s="304" t="str">
        <f t="shared" si="4"/>
        <v>Бюджет Криворізької міської територіальної громади</v>
      </c>
      <c r="G67" s="302">
        <v>1500</v>
      </c>
      <c r="H67" s="302">
        <v>0</v>
      </c>
      <c r="I67" s="302">
        <v>0</v>
      </c>
      <c r="J67" s="302">
        <v>0</v>
      </c>
      <c r="K67" s="302">
        <v>0</v>
      </c>
      <c r="L67" s="302">
        <f>SUM(G67:K67)</f>
        <v>1500</v>
      </c>
      <c r="M67" s="323"/>
    </row>
    <row r="68" spans="1:54" ht="75" customHeight="1" x14ac:dyDescent="0.2">
      <c r="A68" s="329"/>
      <c r="B68" s="341"/>
      <c r="C68" s="304" t="s">
        <v>581</v>
      </c>
      <c r="D68" s="304" t="s">
        <v>81</v>
      </c>
      <c r="E68" s="329"/>
      <c r="F68" s="304" t="str">
        <f t="shared" si="4"/>
        <v>Бюджет Криворізької міської територіальної громади</v>
      </c>
      <c r="G68" s="302">
        <v>123530</v>
      </c>
      <c r="H68" s="302">
        <v>0</v>
      </c>
      <c r="I68" s="302">
        <f>30000</f>
        <v>30000</v>
      </c>
      <c r="J68" s="302">
        <v>35000</v>
      </c>
      <c r="K68" s="302">
        <v>40000</v>
      </c>
      <c r="L68" s="302">
        <f>SUM(G68:K68)</f>
        <v>228530</v>
      </c>
      <c r="M68" s="323"/>
    </row>
    <row r="69" spans="1:54" ht="222.75" customHeight="1" x14ac:dyDescent="0.2">
      <c r="A69" s="329"/>
      <c r="B69" s="341"/>
      <c r="C69" s="329" t="s">
        <v>548</v>
      </c>
      <c r="D69" s="329" t="s">
        <v>540</v>
      </c>
      <c r="E69" s="329"/>
      <c r="F69" s="329" t="s">
        <v>64</v>
      </c>
      <c r="G69" s="323">
        <v>30987.190000000002</v>
      </c>
      <c r="H69" s="323">
        <v>0</v>
      </c>
      <c r="I69" s="323">
        <v>0</v>
      </c>
      <c r="J69" s="323">
        <v>0</v>
      </c>
      <c r="K69" s="323">
        <v>0</v>
      </c>
      <c r="L69" s="323">
        <f>SUM(G69:K70)</f>
        <v>30987.190000000002</v>
      </c>
      <c r="M69" s="323"/>
    </row>
    <row r="70" spans="1:54" ht="247.5" customHeight="1" x14ac:dyDescent="0.2">
      <c r="A70" s="329"/>
      <c r="B70" s="341"/>
      <c r="C70" s="329"/>
      <c r="D70" s="329"/>
      <c r="E70" s="329"/>
      <c r="F70" s="329"/>
      <c r="G70" s="323"/>
      <c r="H70" s="328"/>
      <c r="I70" s="328"/>
      <c r="J70" s="328"/>
      <c r="K70" s="323"/>
      <c r="L70" s="323"/>
      <c r="M70" s="323"/>
    </row>
    <row r="71" spans="1:54" ht="330" customHeight="1" x14ac:dyDescent="0.2">
      <c r="A71" s="329"/>
      <c r="B71" s="341"/>
      <c r="C71" s="287" t="s">
        <v>582</v>
      </c>
      <c r="D71" s="304" t="s">
        <v>541</v>
      </c>
      <c r="E71" s="329"/>
      <c r="F71" s="304" t="str">
        <f>F67</f>
        <v>Бюджет Криворізької міської територіальної громади</v>
      </c>
      <c r="G71" s="302">
        <v>81000</v>
      </c>
      <c r="H71" s="302">
        <v>0</v>
      </c>
      <c r="I71" s="302">
        <v>0</v>
      </c>
      <c r="J71" s="302">
        <v>0</v>
      </c>
      <c r="K71" s="302">
        <v>0</v>
      </c>
      <c r="L71" s="302">
        <f>SUM(G71:K71)</f>
        <v>81000</v>
      </c>
      <c r="M71" s="323"/>
    </row>
    <row r="72" spans="1:54" ht="255.75" customHeight="1" x14ac:dyDescent="0.2">
      <c r="A72" s="329"/>
      <c r="B72" s="341"/>
      <c r="C72" s="287" t="s">
        <v>614</v>
      </c>
      <c r="D72" s="304" t="s">
        <v>536</v>
      </c>
      <c r="E72" s="329"/>
      <c r="F72" s="304" t="str">
        <f>F68</f>
        <v>Бюджет Криворізької міської територіальної громади</v>
      </c>
      <c r="G72" s="302">
        <v>20000</v>
      </c>
      <c r="H72" s="302">
        <v>50000</v>
      </c>
      <c r="I72" s="302">
        <v>50000</v>
      </c>
      <c r="J72" s="302">
        <v>50000</v>
      </c>
      <c r="K72" s="302">
        <v>50000</v>
      </c>
      <c r="L72" s="302">
        <f>SUM(G72:K72)</f>
        <v>220000</v>
      </c>
      <c r="M72" s="323"/>
      <c r="V72" s="3" t="s">
        <v>569</v>
      </c>
    </row>
    <row r="73" spans="1:54" ht="128.25" customHeight="1" x14ac:dyDescent="0.2">
      <c r="A73" s="329"/>
      <c r="B73" s="341"/>
      <c r="C73" s="287" t="s">
        <v>583</v>
      </c>
      <c r="D73" s="304" t="s">
        <v>41</v>
      </c>
      <c r="E73" s="329"/>
      <c r="F73" s="304" t="str">
        <f>F72</f>
        <v>Бюджет Криворізької міської територіальної громади</v>
      </c>
      <c r="G73" s="302">
        <v>47500</v>
      </c>
      <c r="H73" s="302">
        <v>0</v>
      </c>
      <c r="I73" s="302">
        <v>0</v>
      </c>
      <c r="J73" s="302">
        <v>0</v>
      </c>
      <c r="K73" s="302">
        <v>0</v>
      </c>
      <c r="L73" s="302">
        <f>SUM(G73:K73)</f>
        <v>47500</v>
      </c>
      <c r="M73" s="323"/>
    </row>
    <row r="74" spans="1:54" ht="409.6" customHeight="1" x14ac:dyDescent="0.2">
      <c r="A74" s="329"/>
      <c r="B74" s="341"/>
      <c r="C74" s="304" t="s">
        <v>584</v>
      </c>
      <c r="D74" s="304" t="s">
        <v>56</v>
      </c>
      <c r="E74" s="329"/>
      <c r="F74" s="304" t="str">
        <f>F73</f>
        <v>Бюджет Криворізької міської територіальної громади</v>
      </c>
      <c r="G74" s="302">
        <v>148000</v>
      </c>
      <c r="H74" s="302">
        <v>40000</v>
      </c>
      <c r="I74" s="302">
        <v>60000</v>
      </c>
      <c r="J74" s="302">
        <v>62000</v>
      </c>
      <c r="K74" s="302">
        <v>65000</v>
      </c>
      <c r="L74" s="302">
        <f>SUM(G74:K74)</f>
        <v>375000</v>
      </c>
      <c r="M74" s="323"/>
    </row>
    <row r="75" spans="1:54" ht="54" customHeight="1" x14ac:dyDescent="0.2">
      <c r="A75" s="329"/>
      <c r="B75" s="341"/>
      <c r="C75" s="329" t="s">
        <v>585</v>
      </c>
      <c r="D75" s="329" t="s">
        <v>542</v>
      </c>
      <c r="E75" s="329"/>
      <c r="F75" s="329" t="str">
        <f>F74</f>
        <v>Бюджет Криворізької міської територіальної громади</v>
      </c>
      <c r="G75" s="323">
        <v>34860</v>
      </c>
      <c r="H75" s="323">
        <v>0</v>
      </c>
      <c r="I75" s="323">
        <v>0</v>
      </c>
      <c r="J75" s="323">
        <v>0</v>
      </c>
      <c r="K75" s="323">
        <v>0</v>
      </c>
      <c r="L75" s="323">
        <f>SUM(G75:K76)</f>
        <v>34860</v>
      </c>
      <c r="M75" s="323"/>
    </row>
    <row r="76" spans="1:54" ht="360" customHeight="1" x14ac:dyDescent="0.2">
      <c r="A76" s="329"/>
      <c r="B76" s="341"/>
      <c r="C76" s="329"/>
      <c r="D76" s="329"/>
      <c r="E76" s="329"/>
      <c r="F76" s="329"/>
      <c r="G76" s="323"/>
      <c r="H76" s="328"/>
      <c r="I76" s="328"/>
      <c r="J76" s="328"/>
      <c r="K76" s="323"/>
      <c r="L76" s="323"/>
      <c r="M76" s="323"/>
    </row>
    <row r="77" spans="1:54" ht="409.5" customHeight="1" x14ac:dyDescent="0.2">
      <c r="A77" s="329"/>
      <c r="B77" s="341"/>
      <c r="C77" s="304" t="s">
        <v>586</v>
      </c>
      <c r="D77" s="304">
        <v>2022</v>
      </c>
      <c r="E77" s="329"/>
      <c r="F77" s="304" t="str">
        <f>F75</f>
        <v>Бюджет Криворізької міської територіальної громади</v>
      </c>
      <c r="G77" s="302">
        <v>17600</v>
      </c>
      <c r="H77" s="302">
        <v>0</v>
      </c>
      <c r="I77" s="302">
        <v>0</v>
      </c>
      <c r="J77" s="302">
        <v>0</v>
      </c>
      <c r="K77" s="302">
        <v>0</v>
      </c>
      <c r="L77" s="302">
        <f>SUM(G77:K77)</f>
        <v>17600</v>
      </c>
      <c r="M77" s="323"/>
    </row>
    <row r="78" spans="1:54" ht="279" customHeight="1" x14ac:dyDescent="0.2">
      <c r="A78" s="348"/>
      <c r="B78" s="345"/>
      <c r="C78" s="308" t="s">
        <v>46</v>
      </c>
      <c r="D78" s="308" t="s">
        <v>545</v>
      </c>
      <c r="E78" s="367"/>
      <c r="F78" s="297" t="s">
        <v>587</v>
      </c>
      <c r="G78" s="302">
        <v>300000</v>
      </c>
      <c r="H78" s="302">
        <f>300000</f>
        <v>300000</v>
      </c>
      <c r="I78" s="302">
        <v>0</v>
      </c>
      <c r="J78" s="302">
        <v>0</v>
      </c>
      <c r="K78" s="302">
        <v>0</v>
      </c>
      <c r="L78" s="302">
        <f t="shared" ref="L78:L88" si="5">SUM(G78:K78)</f>
        <v>600000</v>
      </c>
      <c r="M78" s="326"/>
    </row>
    <row r="79" spans="1:54" s="11" customFormat="1" ht="132" customHeight="1" x14ac:dyDescent="0.2">
      <c r="A79" s="349"/>
      <c r="B79" s="346"/>
      <c r="C79" s="308" t="s">
        <v>627</v>
      </c>
      <c r="D79" s="308" t="s">
        <v>543</v>
      </c>
      <c r="E79" s="368"/>
      <c r="F79" s="297" t="s">
        <v>62</v>
      </c>
      <c r="G79" s="302">
        <v>0</v>
      </c>
      <c r="H79" s="302">
        <v>295000</v>
      </c>
      <c r="I79" s="302">
        <v>300000</v>
      </c>
      <c r="J79" s="302">
        <v>325000</v>
      </c>
      <c r="K79" s="302">
        <v>350000</v>
      </c>
      <c r="L79" s="302">
        <f t="shared" si="5"/>
        <v>1270000</v>
      </c>
      <c r="M79" s="327"/>
      <c r="N79" s="3"/>
    </row>
    <row r="80" spans="1:54" ht="141.75" customHeight="1" x14ac:dyDescent="0.2">
      <c r="A80" s="349"/>
      <c r="B80" s="346"/>
      <c r="C80" s="304" t="s">
        <v>588</v>
      </c>
      <c r="D80" s="304" t="s">
        <v>81</v>
      </c>
      <c r="E80" s="348" t="s">
        <v>589</v>
      </c>
      <c r="F80" s="304" t="str">
        <f>F72</f>
        <v>Бюджет Криворізької міської територіальної громади</v>
      </c>
      <c r="G80" s="302">
        <v>373000</v>
      </c>
      <c r="H80" s="302">
        <f>20000+7000+50000</f>
        <v>77000</v>
      </c>
      <c r="I80" s="302">
        <v>80000</v>
      </c>
      <c r="J80" s="302">
        <v>85000</v>
      </c>
      <c r="K80" s="302">
        <v>90000</v>
      </c>
      <c r="L80" s="302">
        <f t="shared" si="5"/>
        <v>705000</v>
      </c>
      <c r="M80" s="348" t="s">
        <v>37</v>
      </c>
    </row>
    <row r="81" spans="1:14" ht="132.6" customHeight="1" x14ac:dyDescent="0.2">
      <c r="A81" s="350"/>
      <c r="B81" s="347"/>
      <c r="C81" s="304" t="s">
        <v>76</v>
      </c>
      <c r="D81" s="304" t="s">
        <v>81</v>
      </c>
      <c r="E81" s="350"/>
      <c r="F81" s="304" t="str">
        <f>F72</f>
        <v>Бюджет Криворізької міської територіальної громади</v>
      </c>
      <c r="G81" s="302">
        <v>9652.5</v>
      </c>
      <c r="H81" s="302">
        <v>600</v>
      </c>
      <c r="I81" s="302">
        <v>625</v>
      </c>
      <c r="J81" s="302">
        <v>700</v>
      </c>
      <c r="K81" s="302">
        <v>755</v>
      </c>
      <c r="L81" s="302">
        <f t="shared" si="5"/>
        <v>12332.5</v>
      </c>
      <c r="M81" s="350"/>
    </row>
    <row r="82" spans="1:14" ht="201" customHeight="1" x14ac:dyDescent="0.2">
      <c r="A82" s="329"/>
      <c r="B82" s="341"/>
      <c r="C82" s="304" t="s">
        <v>77</v>
      </c>
      <c r="D82" s="304" t="s">
        <v>40</v>
      </c>
      <c r="E82" s="329" t="s">
        <v>590</v>
      </c>
      <c r="F82" s="304" t="str">
        <f>F81</f>
        <v>Бюджет Криворізької міської територіальної громади</v>
      </c>
      <c r="G82" s="302">
        <v>72902.959999999992</v>
      </c>
      <c r="H82" s="302">
        <v>0</v>
      </c>
      <c r="I82" s="302">
        <v>0</v>
      </c>
      <c r="J82" s="302">
        <v>0</v>
      </c>
      <c r="K82" s="302">
        <v>0</v>
      </c>
      <c r="L82" s="302">
        <f t="shared" si="5"/>
        <v>72902.959999999992</v>
      </c>
      <c r="M82" s="329"/>
    </row>
    <row r="83" spans="1:14" ht="358.5" customHeight="1" x14ac:dyDescent="0.2">
      <c r="A83" s="329"/>
      <c r="B83" s="341"/>
      <c r="C83" s="304" t="s">
        <v>549</v>
      </c>
      <c r="D83" s="304" t="s">
        <v>533</v>
      </c>
      <c r="E83" s="329"/>
      <c r="F83" s="304" t="str">
        <f>F82</f>
        <v>Бюджет Криворізької міської територіальної громади</v>
      </c>
      <c r="G83" s="302">
        <v>132911.57</v>
      </c>
      <c r="H83" s="302">
        <v>0</v>
      </c>
      <c r="I83" s="302">
        <f>25000+45000</f>
        <v>70000</v>
      </c>
      <c r="J83" s="302">
        <v>70000</v>
      </c>
      <c r="K83" s="302">
        <v>70000</v>
      </c>
      <c r="L83" s="302">
        <f t="shared" si="5"/>
        <v>342911.57</v>
      </c>
      <c r="M83" s="329"/>
    </row>
    <row r="84" spans="1:14" ht="252" customHeight="1" x14ac:dyDescent="0.2">
      <c r="A84" s="329"/>
      <c r="B84" s="341"/>
      <c r="C84" s="304" t="s">
        <v>591</v>
      </c>
      <c r="D84" s="304" t="s">
        <v>81</v>
      </c>
      <c r="E84" s="329"/>
      <c r="F84" s="304" t="str">
        <f>F83</f>
        <v>Бюджет Криворізької міської територіальної громади</v>
      </c>
      <c r="G84" s="302">
        <v>57217.35</v>
      </c>
      <c r="H84" s="302">
        <v>400</v>
      </c>
      <c r="I84" s="302">
        <v>5000</v>
      </c>
      <c r="J84" s="302">
        <v>6000</v>
      </c>
      <c r="K84" s="302">
        <v>7000</v>
      </c>
      <c r="L84" s="302">
        <f t="shared" si="5"/>
        <v>75617.350000000006</v>
      </c>
      <c r="M84" s="329"/>
    </row>
    <row r="85" spans="1:14" ht="134.25" customHeight="1" x14ac:dyDescent="0.2">
      <c r="A85" s="329"/>
      <c r="B85" s="341"/>
      <c r="C85" s="304" t="s">
        <v>550</v>
      </c>
      <c r="D85" s="304" t="s">
        <v>534</v>
      </c>
      <c r="E85" s="329"/>
      <c r="F85" s="304" t="s">
        <v>31</v>
      </c>
      <c r="G85" s="302">
        <v>166143.84</v>
      </c>
      <c r="H85" s="302">
        <f>15000+5380+10000</f>
        <v>30380</v>
      </c>
      <c r="I85" s="302">
        <v>35000</v>
      </c>
      <c r="J85" s="302">
        <v>35000</v>
      </c>
      <c r="K85" s="302">
        <v>35000</v>
      </c>
      <c r="L85" s="302">
        <f t="shared" si="5"/>
        <v>301523.83999999997</v>
      </c>
      <c r="M85" s="329"/>
    </row>
    <row r="86" spans="1:14" ht="117" customHeight="1" x14ac:dyDescent="0.2">
      <c r="A86" s="329"/>
      <c r="B86" s="341"/>
      <c r="C86" s="304" t="s">
        <v>592</v>
      </c>
      <c r="D86" s="304">
        <v>2017</v>
      </c>
      <c r="E86" s="329"/>
      <c r="F86" s="304" t="s">
        <v>27</v>
      </c>
      <c r="G86" s="302">
        <v>2340</v>
      </c>
      <c r="H86" s="302">
        <v>0</v>
      </c>
      <c r="I86" s="302">
        <v>0</v>
      </c>
      <c r="J86" s="302">
        <v>0</v>
      </c>
      <c r="K86" s="302">
        <v>0</v>
      </c>
      <c r="L86" s="302">
        <f t="shared" si="5"/>
        <v>2340</v>
      </c>
      <c r="M86" s="329"/>
    </row>
    <row r="87" spans="1:14" ht="351" customHeight="1" x14ac:dyDescent="0.2">
      <c r="A87" s="329"/>
      <c r="B87" s="341"/>
      <c r="C87" s="304" t="s">
        <v>78</v>
      </c>
      <c r="D87" s="304" t="s">
        <v>544</v>
      </c>
      <c r="E87" s="329"/>
      <c r="F87" s="304" t="str">
        <f>F85</f>
        <v xml:space="preserve">Бюджет Криво-різької міської територіальної громади </v>
      </c>
      <c r="G87" s="302">
        <v>3702.5</v>
      </c>
      <c r="H87" s="302">
        <f>1200+1200</f>
        <v>2400</v>
      </c>
      <c r="I87" s="302">
        <v>2250</v>
      </c>
      <c r="J87" s="302">
        <v>2500</v>
      </c>
      <c r="K87" s="302">
        <v>2750</v>
      </c>
      <c r="L87" s="302">
        <f t="shared" si="5"/>
        <v>13602.5</v>
      </c>
      <c r="M87" s="329"/>
    </row>
    <row r="88" spans="1:14" ht="357.75" customHeight="1" x14ac:dyDescent="0.2">
      <c r="A88" s="329"/>
      <c r="B88" s="341"/>
      <c r="C88" s="304" t="s">
        <v>593</v>
      </c>
      <c r="D88" s="304" t="s">
        <v>545</v>
      </c>
      <c r="E88" s="329"/>
      <c r="F88" s="304" t="s">
        <v>27</v>
      </c>
      <c r="G88" s="302">
        <v>83000</v>
      </c>
      <c r="H88" s="302">
        <v>2000</v>
      </c>
      <c r="I88" s="302">
        <v>0</v>
      </c>
      <c r="J88" s="302">
        <v>0</v>
      </c>
      <c r="K88" s="302">
        <v>0</v>
      </c>
      <c r="L88" s="302">
        <f t="shared" si="5"/>
        <v>85000</v>
      </c>
      <c r="M88" s="329"/>
    </row>
    <row r="89" spans="1:14" ht="110.25" customHeight="1" x14ac:dyDescent="0.2">
      <c r="A89" s="329"/>
      <c r="B89" s="341"/>
      <c r="C89" s="304" t="s">
        <v>79</v>
      </c>
      <c r="D89" s="304">
        <v>2023</v>
      </c>
      <c r="E89" s="304" t="s">
        <v>570</v>
      </c>
      <c r="F89" s="304" t="s">
        <v>573</v>
      </c>
      <c r="G89" s="289">
        <v>100000</v>
      </c>
      <c r="H89" s="289">
        <v>0</v>
      </c>
      <c r="I89" s="289">
        <v>0</v>
      </c>
      <c r="J89" s="289">
        <v>0</v>
      </c>
      <c r="K89" s="289">
        <v>0</v>
      </c>
      <c r="L89" s="289">
        <f>SUM(G89:K90)</f>
        <v>100000</v>
      </c>
      <c r="M89" s="304" t="s">
        <v>615</v>
      </c>
    </row>
    <row r="90" spans="1:14" s="10" customFormat="1" ht="93.6" customHeight="1" x14ac:dyDescent="0.2">
      <c r="A90" s="348"/>
      <c r="B90" s="345"/>
      <c r="C90" s="348"/>
      <c r="D90" s="348"/>
      <c r="E90" s="348" t="s">
        <v>571</v>
      </c>
      <c r="F90" s="304" t="s">
        <v>572</v>
      </c>
      <c r="G90" s="289"/>
      <c r="H90" s="306"/>
      <c r="I90" s="306"/>
      <c r="J90" s="306"/>
      <c r="K90" s="289"/>
      <c r="L90" s="289"/>
      <c r="M90" s="348" t="s">
        <v>574</v>
      </c>
      <c r="N90" s="3"/>
    </row>
    <row r="91" spans="1:14" ht="33" customHeight="1" x14ac:dyDescent="0.2">
      <c r="A91" s="349"/>
      <c r="B91" s="346"/>
      <c r="C91" s="349"/>
      <c r="D91" s="349"/>
      <c r="E91" s="349"/>
      <c r="F91" s="329" t="s">
        <v>62</v>
      </c>
      <c r="G91" s="323">
        <v>80900</v>
      </c>
      <c r="H91" s="323">
        <v>0</v>
      </c>
      <c r="I91" s="323">
        <v>0</v>
      </c>
      <c r="J91" s="323">
        <v>0</v>
      </c>
      <c r="K91" s="323">
        <v>0</v>
      </c>
      <c r="L91" s="323">
        <f>SUM(G91:K92)</f>
        <v>80900</v>
      </c>
      <c r="M91" s="349"/>
    </row>
    <row r="92" spans="1:14" ht="108" customHeight="1" x14ac:dyDescent="0.2">
      <c r="A92" s="350"/>
      <c r="B92" s="347"/>
      <c r="C92" s="350"/>
      <c r="D92" s="350"/>
      <c r="E92" s="350"/>
      <c r="F92" s="329"/>
      <c r="G92" s="323"/>
      <c r="H92" s="323"/>
      <c r="I92" s="323"/>
      <c r="J92" s="323"/>
      <c r="K92" s="323"/>
      <c r="L92" s="323"/>
      <c r="M92" s="350"/>
    </row>
    <row r="93" spans="1:14" ht="324" customHeight="1" x14ac:dyDescent="0.2">
      <c r="A93" s="341" t="s">
        <v>3</v>
      </c>
      <c r="B93" s="341"/>
      <c r="C93" s="341"/>
      <c r="D93" s="341"/>
      <c r="E93" s="341"/>
      <c r="F93" s="304" t="str">
        <f>F87</f>
        <v xml:space="preserve">Бюджет Криво-різької міської територіальної громади </v>
      </c>
      <c r="G93" s="307">
        <v>1851414.2</v>
      </c>
      <c r="H93" s="307">
        <f>SUM(H61:H88)-H78+H91</f>
        <v>497780</v>
      </c>
      <c r="I93" s="307">
        <f>SUM(I61:I88)-I78+I91</f>
        <v>632875</v>
      </c>
      <c r="J93" s="307">
        <f>SUM(J61:J88)-J78+J91</f>
        <v>671200</v>
      </c>
      <c r="K93" s="307">
        <f>SUM(K61:K88)-K78+K91</f>
        <v>710505</v>
      </c>
      <c r="L93" s="307">
        <f>SUM(L61:L88)-L78+L91</f>
        <v>4363774.1999999993</v>
      </c>
      <c r="M93" s="344"/>
    </row>
    <row r="94" spans="1:14" ht="114.75" customHeight="1" x14ac:dyDescent="0.2">
      <c r="A94" s="341"/>
      <c r="B94" s="341"/>
      <c r="C94" s="341"/>
      <c r="D94" s="341"/>
      <c r="E94" s="341"/>
      <c r="F94" s="362" t="s">
        <v>67</v>
      </c>
      <c r="G94" s="315">
        <v>300000</v>
      </c>
      <c r="H94" s="315">
        <v>300000</v>
      </c>
      <c r="I94" s="315">
        <v>0</v>
      </c>
      <c r="J94" s="315">
        <v>0</v>
      </c>
      <c r="K94" s="315">
        <v>0</v>
      </c>
      <c r="L94" s="315">
        <f>SUM(G94:K94)</f>
        <v>600000</v>
      </c>
      <c r="M94" s="344"/>
    </row>
    <row r="95" spans="1:14" ht="176.25" customHeight="1" x14ac:dyDescent="0.2">
      <c r="A95" s="341"/>
      <c r="B95" s="341"/>
      <c r="C95" s="341"/>
      <c r="D95" s="341"/>
      <c r="E95" s="341"/>
      <c r="F95" s="362"/>
      <c r="G95" s="315"/>
      <c r="H95" s="315"/>
      <c r="I95" s="315"/>
      <c r="J95" s="315"/>
      <c r="K95" s="315"/>
      <c r="L95" s="315"/>
      <c r="M95" s="344"/>
    </row>
    <row r="96" spans="1:14" ht="266.25" customHeight="1" x14ac:dyDescent="0.2">
      <c r="A96" s="341"/>
      <c r="B96" s="341"/>
      <c r="C96" s="341"/>
      <c r="D96" s="341"/>
      <c r="E96" s="341"/>
      <c r="F96" s="304" t="s">
        <v>616</v>
      </c>
      <c r="G96" s="307">
        <v>100000</v>
      </c>
      <c r="H96" s="307">
        <v>0</v>
      </c>
      <c r="I96" s="307">
        <v>0</v>
      </c>
      <c r="J96" s="307">
        <v>0</v>
      </c>
      <c r="K96" s="307">
        <v>0</v>
      </c>
      <c r="L96" s="307">
        <f>L89</f>
        <v>100000</v>
      </c>
      <c r="M96" s="344"/>
    </row>
    <row r="97" spans="1:54" ht="380.45" customHeight="1" x14ac:dyDescent="0.2">
      <c r="A97" s="341"/>
      <c r="B97" s="341"/>
      <c r="C97" s="341"/>
      <c r="D97" s="341"/>
      <c r="E97" s="341"/>
      <c r="F97" s="304" t="s">
        <v>575</v>
      </c>
      <c r="G97" s="289"/>
      <c r="H97" s="306"/>
      <c r="I97" s="306"/>
      <c r="J97" s="306"/>
      <c r="K97" s="298"/>
      <c r="L97" s="298"/>
      <c r="M97" s="299"/>
    </row>
    <row r="98" spans="1:54" ht="149.25" customHeight="1" x14ac:dyDescent="0.2">
      <c r="A98" s="341">
        <v>5</v>
      </c>
      <c r="B98" s="341" t="s">
        <v>595</v>
      </c>
      <c r="C98" s="304" t="s">
        <v>594</v>
      </c>
      <c r="D98" s="304">
        <v>2017</v>
      </c>
      <c r="E98" s="329" t="s">
        <v>68</v>
      </c>
      <c r="F98" s="304" t="str">
        <f>F93</f>
        <v xml:space="preserve">Бюджет Криво-різької міської територіальної громади </v>
      </c>
      <c r="G98" s="302">
        <v>174.9</v>
      </c>
      <c r="H98" s="302">
        <v>0</v>
      </c>
      <c r="I98" s="302">
        <v>0</v>
      </c>
      <c r="J98" s="302">
        <v>0</v>
      </c>
      <c r="K98" s="302">
        <v>0</v>
      </c>
      <c r="L98" s="302">
        <f>SUM(G98:K98)</f>
        <v>174.9</v>
      </c>
      <c r="M98" s="329" t="s">
        <v>25</v>
      </c>
    </row>
    <row r="99" spans="1:54" ht="10.9" hidden="1" customHeight="1" x14ac:dyDescent="0.2">
      <c r="A99" s="341"/>
      <c r="B99" s="341"/>
      <c r="C99" s="329" t="s">
        <v>22</v>
      </c>
      <c r="D99" s="329" t="s">
        <v>617</v>
      </c>
      <c r="E99" s="329"/>
      <c r="F99" s="329" t="str">
        <f>F98</f>
        <v xml:space="preserve">Бюджет Криво-різької міської територіальної громади </v>
      </c>
      <c r="G99" s="323">
        <v>625.09999999999991</v>
      </c>
      <c r="H99" s="323">
        <v>0</v>
      </c>
      <c r="I99" s="323">
        <v>0</v>
      </c>
      <c r="J99" s="323">
        <v>0</v>
      </c>
      <c r="K99" s="323">
        <v>0</v>
      </c>
      <c r="L99" s="323">
        <f>SUM(G99:K101)</f>
        <v>625.09999999999991</v>
      </c>
      <c r="M99" s="329"/>
    </row>
    <row r="100" spans="1:54" ht="67.5" customHeight="1" x14ac:dyDescent="0.2">
      <c r="A100" s="341"/>
      <c r="B100" s="341"/>
      <c r="C100" s="329"/>
      <c r="D100" s="329"/>
      <c r="E100" s="329"/>
      <c r="F100" s="329"/>
      <c r="G100" s="323"/>
      <c r="H100" s="328"/>
      <c r="I100" s="328"/>
      <c r="J100" s="328"/>
      <c r="K100" s="323"/>
      <c r="L100" s="323"/>
      <c r="M100" s="329"/>
    </row>
    <row r="101" spans="1:54" ht="104.45" customHeight="1" x14ac:dyDescent="0.2">
      <c r="A101" s="341"/>
      <c r="B101" s="341"/>
      <c r="C101" s="329"/>
      <c r="D101" s="329"/>
      <c r="E101" s="329"/>
      <c r="F101" s="329"/>
      <c r="G101" s="323"/>
      <c r="H101" s="328"/>
      <c r="I101" s="328"/>
      <c r="J101" s="328"/>
      <c r="K101" s="323"/>
      <c r="L101" s="323"/>
      <c r="M101" s="329"/>
    </row>
    <row r="102" spans="1:54" ht="161.44999999999999" customHeight="1" x14ac:dyDescent="0.2">
      <c r="A102" s="341" t="s">
        <v>3</v>
      </c>
      <c r="B102" s="341"/>
      <c r="C102" s="341"/>
      <c r="D102" s="341"/>
      <c r="E102" s="341"/>
      <c r="F102" s="304" t="str">
        <f>F99</f>
        <v xml:space="preserve">Бюджет Криво-різької міської територіальної громади </v>
      </c>
      <c r="G102" s="307">
        <v>800</v>
      </c>
      <c r="H102" s="307">
        <f>H98+H99</f>
        <v>0</v>
      </c>
      <c r="I102" s="307">
        <f>I98+I99</f>
        <v>0</v>
      </c>
      <c r="J102" s="307">
        <f>J98+J99</f>
        <v>0</v>
      </c>
      <c r="K102" s="307">
        <f>K98+K99</f>
        <v>0</v>
      </c>
      <c r="L102" s="307">
        <f>SUM(G102:K102)</f>
        <v>800</v>
      </c>
      <c r="M102" s="302"/>
    </row>
    <row r="103" spans="1:54" ht="63" customHeight="1" x14ac:dyDescent="0.2">
      <c r="A103" s="329">
        <v>6</v>
      </c>
      <c r="B103" s="341" t="s">
        <v>597</v>
      </c>
      <c r="C103" s="329" t="s">
        <v>596</v>
      </c>
      <c r="D103" s="329" t="s">
        <v>40</v>
      </c>
      <c r="E103" s="329" t="s">
        <v>599</v>
      </c>
      <c r="F103" s="329" t="str">
        <f>F102</f>
        <v xml:space="preserve">Бюджет Криво-різької міської територіальної громади </v>
      </c>
      <c r="G103" s="323">
        <v>3000</v>
      </c>
      <c r="H103" s="323">
        <v>0</v>
      </c>
      <c r="I103" s="323">
        <v>0</v>
      </c>
      <c r="J103" s="323">
        <v>0</v>
      </c>
      <c r="K103" s="323">
        <v>0</v>
      </c>
      <c r="L103" s="323">
        <f>SUM(G103:K104)</f>
        <v>3000</v>
      </c>
      <c r="M103" s="323" t="s">
        <v>38</v>
      </c>
    </row>
    <row r="104" spans="1:54" ht="393.75" customHeight="1" x14ac:dyDescent="0.2">
      <c r="A104" s="329"/>
      <c r="B104" s="341"/>
      <c r="C104" s="329"/>
      <c r="D104" s="329"/>
      <c r="E104" s="329"/>
      <c r="F104" s="329"/>
      <c r="G104" s="323"/>
      <c r="H104" s="328"/>
      <c r="I104" s="328"/>
      <c r="J104" s="328"/>
      <c r="K104" s="323"/>
      <c r="L104" s="323"/>
      <c r="M104" s="323"/>
    </row>
    <row r="105" spans="1:54" ht="172.5" customHeight="1" x14ac:dyDescent="0.2">
      <c r="A105" s="329"/>
      <c r="B105" s="341"/>
      <c r="C105" s="304" t="s">
        <v>598</v>
      </c>
      <c r="D105" s="329" t="s">
        <v>546</v>
      </c>
      <c r="E105" s="329"/>
      <c r="F105" s="304" t="str">
        <f>F103</f>
        <v xml:space="preserve">Бюджет Криво-різької міської територіальної громади </v>
      </c>
      <c r="G105" s="302">
        <v>269</v>
      </c>
      <c r="H105" s="302">
        <v>1500</v>
      </c>
      <c r="I105" s="302">
        <f>28</f>
        <v>28</v>
      </c>
      <c r="J105" s="302">
        <v>0</v>
      </c>
      <c r="K105" s="302">
        <v>0</v>
      </c>
      <c r="L105" s="302">
        <f t="shared" ref="L105:L110" si="6">SUM(G105:K105)</f>
        <v>1797</v>
      </c>
      <c r="M105" s="323"/>
    </row>
    <row r="106" spans="1:54" ht="153.75" customHeight="1" x14ac:dyDescent="0.2">
      <c r="A106" s="329"/>
      <c r="B106" s="341"/>
      <c r="C106" s="304" t="s">
        <v>35</v>
      </c>
      <c r="D106" s="329"/>
      <c r="E106" s="329"/>
      <c r="F106" s="304" t="str">
        <f>F105</f>
        <v xml:space="preserve">Бюджет Криво-різької міської територіальної громади </v>
      </c>
      <c r="G106" s="302">
        <v>3414</v>
      </c>
      <c r="H106" s="302">
        <v>0</v>
      </c>
      <c r="I106" s="302">
        <v>0</v>
      </c>
      <c r="J106" s="302">
        <v>0</v>
      </c>
      <c r="K106" s="302">
        <v>0</v>
      </c>
      <c r="L106" s="302">
        <f t="shared" si="6"/>
        <v>3414</v>
      </c>
      <c r="M106" s="323"/>
    </row>
    <row r="107" spans="1:54" ht="267.75" customHeight="1" x14ac:dyDescent="0.2">
      <c r="A107" s="329"/>
      <c r="B107" s="341"/>
      <c r="C107" s="304" t="s">
        <v>21</v>
      </c>
      <c r="D107" s="304" t="s">
        <v>618</v>
      </c>
      <c r="E107" s="329"/>
      <c r="F107" s="304" t="str">
        <f>F105</f>
        <v xml:space="preserve">Бюджет Криво-різької міської територіальної громади </v>
      </c>
      <c r="G107" s="302">
        <v>2980</v>
      </c>
      <c r="H107" s="302">
        <v>0</v>
      </c>
      <c r="I107" s="302">
        <v>0</v>
      </c>
      <c r="J107" s="302">
        <v>0</v>
      </c>
      <c r="K107" s="302">
        <v>0</v>
      </c>
      <c r="L107" s="302">
        <f t="shared" si="6"/>
        <v>2980</v>
      </c>
      <c r="M107" s="323"/>
    </row>
    <row r="108" spans="1:54" ht="129.75" customHeight="1" x14ac:dyDescent="0.2">
      <c r="A108" s="329"/>
      <c r="B108" s="341"/>
      <c r="C108" s="287" t="s">
        <v>47</v>
      </c>
      <c r="D108" s="304">
        <v>2023</v>
      </c>
      <c r="E108" s="329"/>
      <c r="F108" s="304" t="s">
        <v>66</v>
      </c>
      <c r="G108" s="302">
        <v>4700</v>
      </c>
      <c r="H108" s="302">
        <v>0</v>
      </c>
      <c r="I108" s="302">
        <v>5000</v>
      </c>
      <c r="J108" s="302">
        <v>0</v>
      </c>
      <c r="K108" s="302">
        <v>0</v>
      </c>
      <c r="L108" s="302">
        <f t="shared" si="6"/>
        <v>9700</v>
      </c>
      <c r="M108" s="323" t="s">
        <v>72</v>
      </c>
    </row>
    <row r="109" spans="1:54" ht="131.25" customHeight="1" x14ac:dyDescent="0.2">
      <c r="A109" s="329"/>
      <c r="B109" s="341"/>
      <c r="C109" s="287" t="s">
        <v>70</v>
      </c>
      <c r="D109" s="304">
        <v>2024</v>
      </c>
      <c r="E109" s="329"/>
      <c r="F109" s="304" t="s">
        <v>66</v>
      </c>
      <c r="G109" s="302">
        <v>0</v>
      </c>
      <c r="H109" s="302">
        <v>3753.14</v>
      </c>
      <c r="I109" s="302">
        <v>0</v>
      </c>
      <c r="J109" s="302">
        <v>0</v>
      </c>
      <c r="K109" s="302">
        <v>0</v>
      </c>
      <c r="L109" s="300">
        <f t="shared" si="6"/>
        <v>3753.14</v>
      </c>
      <c r="M109" s="323"/>
    </row>
    <row r="110" spans="1:54" ht="329.25" customHeight="1" x14ac:dyDescent="0.2">
      <c r="A110" s="341" t="s">
        <v>3</v>
      </c>
      <c r="B110" s="341"/>
      <c r="C110" s="341"/>
      <c r="D110" s="341"/>
      <c r="E110" s="341"/>
      <c r="F110" s="304" t="str">
        <f>F108</f>
        <v xml:space="preserve">Бюджет Криворізької міської територіальної громади </v>
      </c>
      <c r="G110" s="307">
        <v>14363</v>
      </c>
      <c r="H110" s="307">
        <f>SUM(H103:H109)</f>
        <v>5253.1399999999994</v>
      </c>
      <c r="I110" s="307">
        <f>SUM(I103:I109)</f>
        <v>5028</v>
      </c>
      <c r="J110" s="307">
        <f>SUM(J103:J109)</f>
        <v>0</v>
      </c>
      <c r="K110" s="307">
        <f>SUM(K103:K109)</f>
        <v>0</v>
      </c>
      <c r="L110" s="307">
        <f t="shared" si="6"/>
        <v>24644.14</v>
      </c>
      <c r="M110" s="289"/>
    </row>
    <row r="111" spans="1:54" ht="117" customHeight="1" x14ac:dyDescent="0.2">
      <c r="A111" s="329">
        <v>7</v>
      </c>
      <c r="B111" s="341" t="s">
        <v>619</v>
      </c>
      <c r="C111" s="329" t="s">
        <v>600</v>
      </c>
      <c r="D111" s="329" t="s">
        <v>42</v>
      </c>
      <c r="E111" s="361" t="s">
        <v>601</v>
      </c>
      <c r="F111" s="329" t="str">
        <f>F110</f>
        <v xml:space="preserve">Бюджет Криворізької міської територіальної громади </v>
      </c>
      <c r="G111" s="326">
        <v>10487.73</v>
      </c>
      <c r="H111" s="326">
        <v>0</v>
      </c>
      <c r="I111" s="326">
        <v>0</v>
      </c>
      <c r="J111" s="326">
        <v>0</v>
      </c>
      <c r="K111" s="326">
        <v>0</v>
      </c>
      <c r="L111" s="323">
        <f>SUM(G111:K112)</f>
        <v>10487.73</v>
      </c>
      <c r="M111" s="323"/>
    </row>
    <row r="112" spans="1:54" s="8" customFormat="1" ht="335.25" customHeight="1" x14ac:dyDescent="0.2">
      <c r="A112" s="329"/>
      <c r="B112" s="341"/>
      <c r="C112" s="329"/>
      <c r="D112" s="329"/>
      <c r="E112" s="361"/>
      <c r="F112" s="329"/>
      <c r="G112" s="327"/>
      <c r="H112" s="343"/>
      <c r="I112" s="343"/>
      <c r="J112" s="343"/>
      <c r="K112" s="327"/>
      <c r="L112" s="323"/>
      <c r="M112" s="323"/>
      <c r="N112" s="13"/>
      <c r="O112" s="6"/>
      <c r="P112" s="6"/>
      <c r="Q112" s="6"/>
      <c r="R112" s="6"/>
      <c r="S112" s="6"/>
      <c r="T112" s="6"/>
      <c r="U112" s="6"/>
      <c r="V112" s="6"/>
      <c r="W112" s="6"/>
      <c r="X112" s="6"/>
      <c r="Y112" s="6"/>
      <c r="Z112" s="6"/>
      <c r="AA112" s="6"/>
      <c r="AB112" s="6"/>
      <c r="AC112" s="6"/>
      <c r="AD112" s="6"/>
      <c r="AE112" s="6"/>
      <c r="AF112" s="6"/>
      <c r="AG112" s="6"/>
      <c r="AH112" s="6"/>
      <c r="AI112" s="6"/>
      <c r="AJ112" s="6"/>
      <c r="AK112" s="6"/>
      <c r="AL112" s="6"/>
      <c r="AM112" s="6"/>
      <c r="AN112" s="6"/>
      <c r="AO112" s="6"/>
      <c r="AP112" s="6"/>
      <c r="AQ112" s="6"/>
      <c r="AR112" s="6"/>
      <c r="AS112" s="6"/>
      <c r="AT112" s="6"/>
      <c r="AU112" s="6"/>
      <c r="AV112" s="6"/>
      <c r="AW112" s="6"/>
      <c r="AX112" s="6"/>
      <c r="AY112" s="6"/>
      <c r="AZ112" s="6"/>
      <c r="BA112" s="6"/>
      <c r="BB112" s="6"/>
    </row>
    <row r="113" spans="1:54" s="6" customFormat="1" ht="266.25" customHeight="1" x14ac:dyDescent="0.2">
      <c r="A113" s="304">
        <v>8</v>
      </c>
      <c r="B113" s="303" t="s">
        <v>620</v>
      </c>
      <c r="C113" s="304" t="s">
        <v>45</v>
      </c>
      <c r="D113" s="304" t="s">
        <v>545</v>
      </c>
      <c r="E113" s="309" t="s">
        <v>65</v>
      </c>
      <c r="F113" s="304" t="s">
        <v>66</v>
      </c>
      <c r="G113" s="302">
        <v>60000</v>
      </c>
      <c r="H113" s="302">
        <f>90000+30000+80000</f>
        <v>200000</v>
      </c>
      <c r="I113" s="302">
        <f>120000</f>
        <v>120000</v>
      </c>
      <c r="J113" s="302">
        <v>0</v>
      </c>
      <c r="K113" s="302">
        <v>0</v>
      </c>
      <c r="L113" s="302">
        <f>SUM(G113:K113)</f>
        <v>380000</v>
      </c>
      <c r="M113" s="304"/>
    </row>
    <row r="114" spans="1:54" s="6" customFormat="1" ht="301.89999999999998" customHeight="1" x14ac:dyDescent="0.2">
      <c r="A114" s="304">
        <v>9</v>
      </c>
      <c r="B114" s="303" t="s">
        <v>621</v>
      </c>
      <c r="C114" s="304" t="s">
        <v>49</v>
      </c>
      <c r="D114" s="304">
        <v>2023</v>
      </c>
      <c r="E114" s="309" t="s">
        <v>50</v>
      </c>
      <c r="F114" s="304" t="s">
        <v>51</v>
      </c>
      <c r="G114" s="302">
        <v>10000</v>
      </c>
      <c r="H114" s="302">
        <v>0</v>
      </c>
      <c r="I114" s="302">
        <v>0</v>
      </c>
      <c r="J114" s="302">
        <v>0</v>
      </c>
      <c r="K114" s="302">
        <v>0</v>
      </c>
      <c r="L114" s="302">
        <f>SUM(G114:K114)</f>
        <v>10000</v>
      </c>
      <c r="M114" s="304"/>
    </row>
    <row r="115" spans="1:54" ht="38.25" customHeight="1" x14ac:dyDescent="0.2">
      <c r="A115" s="304">
        <v>10</v>
      </c>
      <c r="B115" s="303" t="s">
        <v>602</v>
      </c>
      <c r="C115" s="304" t="s">
        <v>626</v>
      </c>
      <c r="D115" s="304">
        <v>2024</v>
      </c>
      <c r="E115" s="309" t="s">
        <v>603</v>
      </c>
      <c r="F115" s="304" t="s">
        <v>62</v>
      </c>
      <c r="G115" s="302">
        <v>0</v>
      </c>
      <c r="H115" s="302">
        <v>5000</v>
      </c>
      <c r="I115" s="288">
        <v>0</v>
      </c>
      <c r="J115" s="288">
        <v>0</v>
      </c>
      <c r="K115" s="288">
        <v>0</v>
      </c>
      <c r="L115" s="302">
        <f>H115+I115+J115</f>
        <v>5000</v>
      </c>
      <c r="M115" s="304" t="s">
        <v>604</v>
      </c>
    </row>
    <row r="116" spans="1:54" ht="136.5" customHeight="1" x14ac:dyDescent="0.2">
      <c r="A116" s="341" t="s">
        <v>625</v>
      </c>
      <c r="B116" s="341"/>
      <c r="C116" s="341"/>
      <c r="D116" s="341"/>
      <c r="E116" s="341"/>
      <c r="F116" s="310"/>
      <c r="G116" s="307">
        <v>3982939.26</v>
      </c>
      <c r="H116" s="307">
        <f>H117+H118+H123+H121+H125+H127</f>
        <v>1228421.1400000001</v>
      </c>
      <c r="I116" s="307">
        <f>I117+I118+I123+I121+I125+I127</f>
        <v>850578</v>
      </c>
      <c r="J116" s="307">
        <f>J117+J118+J123+J121+J125+J127</f>
        <v>864786</v>
      </c>
      <c r="K116" s="307">
        <f>K117+K118+K123+K121+K125+K127</f>
        <v>917008</v>
      </c>
      <c r="L116" s="307">
        <f>L117+L118+L119+L121+L125+L127</f>
        <v>7843732.3999999994</v>
      </c>
      <c r="M116" s="301"/>
    </row>
    <row r="117" spans="1:54" ht="54.6" customHeight="1" x14ac:dyDescent="0.2">
      <c r="A117" s="341"/>
      <c r="B117" s="341"/>
      <c r="C117" s="341"/>
      <c r="D117" s="341"/>
      <c r="E117" s="341"/>
      <c r="F117" s="304" t="s">
        <v>66</v>
      </c>
      <c r="G117" s="307">
        <v>3558047.76</v>
      </c>
      <c r="H117" s="307">
        <f>H28+H50+H60+H93+H102+H110+H111+H113+H114+H115</f>
        <v>928421.14</v>
      </c>
      <c r="I117" s="307">
        <f>I28+I50+I60+I93+I102+I110+I111+I113+I114+I115</f>
        <v>850578</v>
      </c>
      <c r="J117" s="307">
        <f>J28+J50+J60+J93+J102+J110+J111+J113+J114+J115</f>
        <v>864786</v>
      </c>
      <c r="K117" s="307">
        <f>K28+K50+K60+K93+K102+K110+K111+K113+K114+K115</f>
        <v>917008</v>
      </c>
      <c r="L117" s="307">
        <f>L28+L50+L60+L93+L102+L110+L111+L113+L114+L115</f>
        <v>7118840.8999999994</v>
      </c>
      <c r="M117" s="344"/>
    </row>
    <row r="118" spans="1:54" ht="274.89999999999998" customHeight="1" x14ac:dyDescent="0.2">
      <c r="A118" s="341"/>
      <c r="B118" s="341"/>
      <c r="C118" s="341"/>
      <c r="D118" s="341"/>
      <c r="E118" s="341"/>
      <c r="F118" s="304" t="s">
        <v>51</v>
      </c>
      <c r="G118" s="307">
        <v>15601.5</v>
      </c>
      <c r="H118" s="307">
        <f>H29+H51+H114</f>
        <v>0</v>
      </c>
      <c r="I118" s="307">
        <f>I29+I51+I114</f>
        <v>0</v>
      </c>
      <c r="J118" s="307">
        <f>J29+J51+J114</f>
        <v>0</v>
      </c>
      <c r="K118" s="307">
        <f>K29+K51+K114</f>
        <v>0</v>
      </c>
      <c r="L118" s="307">
        <f>SUM(G118:K118)</f>
        <v>15601.5</v>
      </c>
      <c r="M118" s="344"/>
    </row>
    <row r="119" spans="1:54" ht="70.5" customHeight="1" x14ac:dyDescent="0.2">
      <c r="A119" s="341"/>
      <c r="B119" s="341"/>
      <c r="C119" s="341"/>
      <c r="D119" s="341"/>
      <c r="E119" s="341"/>
      <c r="F119" s="329" t="s">
        <v>605</v>
      </c>
      <c r="G119" s="315">
        <v>7290</v>
      </c>
      <c r="H119" s="330" t="str">
        <f>H30</f>
        <v>*</v>
      </c>
      <c r="I119" s="330" t="str">
        <f>I30</f>
        <v>*</v>
      </c>
      <c r="J119" s="330" t="str">
        <f>J30</f>
        <v>*</v>
      </c>
      <c r="K119" s="330" t="str">
        <f>K30</f>
        <v>*</v>
      </c>
      <c r="L119" s="330">
        <f>SUM(G119:K120)</f>
        <v>7290</v>
      </c>
      <c r="M119" s="344"/>
    </row>
    <row r="120" spans="1:54" ht="53.25" customHeight="1" x14ac:dyDescent="0.2">
      <c r="A120" s="341"/>
      <c r="B120" s="341"/>
      <c r="C120" s="341"/>
      <c r="D120" s="341"/>
      <c r="E120" s="341"/>
      <c r="F120" s="329"/>
      <c r="G120" s="315"/>
      <c r="H120" s="330"/>
      <c r="I120" s="330"/>
      <c r="J120" s="330"/>
      <c r="K120" s="330"/>
      <c r="L120" s="330"/>
      <c r="M120" s="344"/>
    </row>
    <row r="121" spans="1:54" ht="377.25" customHeight="1" x14ac:dyDescent="0.2">
      <c r="A121" s="341"/>
      <c r="B121" s="341"/>
      <c r="C121" s="341"/>
      <c r="D121" s="341"/>
      <c r="E121" s="341"/>
      <c r="F121" s="329" t="s">
        <v>551</v>
      </c>
      <c r="G121" s="315">
        <v>2000</v>
      </c>
      <c r="H121" s="315">
        <v>0</v>
      </c>
      <c r="I121" s="315">
        <v>0</v>
      </c>
      <c r="J121" s="315">
        <v>0</v>
      </c>
      <c r="K121" s="315">
        <v>0</v>
      </c>
      <c r="L121" s="315">
        <f>SUM(G121:K122)</f>
        <v>2000</v>
      </c>
      <c r="M121" s="344"/>
    </row>
    <row r="122" spans="1:54" ht="177.75" customHeight="1" x14ac:dyDescent="0.2">
      <c r="A122" s="341"/>
      <c r="B122" s="341"/>
      <c r="C122" s="341"/>
      <c r="D122" s="341"/>
      <c r="E122" s="341"/>
      <c r="F122" s="329"/>
      <c r="G122" s="315"/>
      <c r="H122" s="328"/>
      <c r="I122" s="328"/>
      <c r="J122" s="328"/>
      <c r="K122" s="315"/>
      <c r="L122" s="315"/>
      <c r="M122" s="344"/>
    </row>
    <row r="123" spans="1:54" ht="276.75" customHeight="1" x14ac:dyDescent="0.2">
      <c r="A123" s="341"/>
      <c r="B123" s="341"/>
      <c r="C123" s="341"/>
      <c r="D123" s="341"/>
      <c r="E123" s="341"/>
      <c r="F123" s="329" t="s">
        <v>622</v>
      </c>
      <c r="G123" s="315">
        <v>0</v>
      </c>
      <c r="H123" s="315">
        <v>0</v>
      </c>
      <c r="I123" s="315">
        <v>0</v>
      </c>
      <c r="J123" s="315">
        <v>0</v>
      </c>
      <c r="K123" s="315">
        <v>0</v>
      </c>
      <c r="L123" s="315">
        <f>SUM(G123:K124)</f>
        <v>0</v>
      </c>
      <c r="M123" s="323"/>
    </row>
    <row r="124" spans="1:54" s="9" customFormat="1" ht="237" customHeight="1" x14ac:dyDescent="0.2">
      <c r="A124" s="341"/>
      <c r="B124" s="341"/>
      <c r="C124" s="341"/>
      <c r="D124" s="341"/>
      <c r="E124" s="341"/>
      <c r="F124" s="329"/>
      <c r="G124" s="315"/>
      <c r="H124" s="328"/>
      <c r="I124" s="328"/>
      <c r="J124" s="328"/>
      <c r="K124" s="315"/>
      <c r="L124" s="315"/>
      <c r="M124" s="32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c r="AY124" s="3"/>
      <c r="AZ124" s="3"/>
      <c r="BA124" s="3"/>
      <c r="BB124" s="3"/>
    </row>
    <row r="125" spans="1:54" ht="274.5" customHeight="1" x14ac:dyDescent="0.2">
      <c r="A125" s="341"/>
      <c r="B125" s="341"/>
      <c r="C125" s="341"/>
      <c r="D125" s="341"/>
      <c r="E125" s="341"/>
      <c r="F125" s="329" t="s">
        <v>623</v>
      </c>
      <c r="G125" s="315">
        <v>300000</v>
      </c>
      <c r="H125" s="315">
        <f>H78</f>
        <v>300000</v>
      </c>
      <c r="I125" s="315">
        <v>0</v>
      </c>
      <c r="J125" s="315">
        <v>0</v>
      </c>
      <c r="K125" s="315">
        <v>0</v>
      </c>
      <c r="L125" s="315">
        <f>SUM(G125:K126)</f>
        <v>600000</v>
      </c>
      <c r="M125" s="323"/>
    </row>
    <row r="126" spans="1:54" ht="147.6" customHeight="1" x14ac:dyDescent="0.2">
      <c r="A126" s="341"/>
      <c r="B126" s="341"/>
      <c r="C126" s="341"/>
      <c r="D126" s="341"/>
      <c r="E126" s="341"/>
      <c r="F126" s="328"/>
      <c r="G126" s="315"/>
      <c r="H126" s="328"/>
      <c r="I126" s="328"/>
      <c r="J126" s="328"/>
      <c r="K126" s="315"/>
      <c r="L126" s="315"/>
      <c r="M126" s="323"/>
    </row>
    <row r="127" spans="1:54" ht="381" customHeight="1" x14ac:dyDescent="0.2">
      <c r="A127" s="341"/>
      <c r="B127" s="341"/>
      <c r="C127" s="341"/>
      <c r="D127" s="341"/>
      <c r="E127" s="341"/>
      <c r="F127" s="329" t="s">
        <v>606</v>
      </c>
      <c r="G127" s="315">
        <v>100000</v>
      </c>
      <c r="H127" s="315">
        <v>0</v>
      </c>
      <c r="I127" s="315">
        <v>0</v>
      </c>
      <c r="J127" s="315">
        <v>0</v>
      </c>
      <c r="K127" s="315">
        <v>0</v>
      </c>
      <c r="L127" s="315">
        <v>100000</v>
      </c>
      <c r="M127" s="323"/>
    </row>
    <row r="128" spans="1:54" ht="26.25" customHeight="1" x14ac:dyDescent="0.2">
      <c r="A128" s="341"/>
      <c r="B128" s="341"/>
      <c r="C128" s="341"/>
      <c r="D128" s="341"/>
      <c r="E128" s="341"/>
      <c r="F128" s="329"/>
      <c r="G128" s="315"/>
      <c r="H128" s="328"/>
      <c r="I128" s="328"/>
      <c r="J128" s="328"/>
      <c r="K128" s="328"/>
      <c r="L128" s="315"/>
      <c r="M128" s="323"/>
    </row>
    <row r="129" spans="1:14" ht="194.25" customHeight="1" x14ac:dyDescent="0.6">
      <c r="A129" s="14"/>
      <c r="B129" s="269"/>
      <c r="C129" s="14"/>
      <c r="D129" s="6"/>
      <c r="E129" s="14"/>
      <c r="F129" s="14"/>
      <c r="G129" s="14"/>
      <c r="H129" s="14"/>
      <c r="I129" s="14"/>
      <c r="J129" s="14"/>
      <c r="K129" s="14"/>
      <c r="L129" s="14"/>
      <c r="M129" s="15"/>
    </row>
    <row r="130" spans="1:14" ht="33.75" customHeight="1" x14ac:dyDescent="0.55000000000000004">
      <c r="A130" s="360" t="s">
        <v>634</v>
      </c>
      <c r="B130" s="360"/>
      <c r="C130" s="360"/>
      <c r="D130" s="360"/>
      <c r="E130" s="360"/>
      <c r="F130" s="360"/>
      <c r="G130" s="261"/>
      <c r="H130" s="271" t="s">
        <v>633</v>
      </c>
      <c r="I130" s="261"/>
      <c r="J130" s="261"/>
      <c r="K130" s="261"/>
      <c r="L130" s="261"/>
      <c r="M130" s="5"/>
    </row>
    <row r="131" spans="1:14" ht="30.75" customHeight="1" x14ac:dyDescent="0.5">
      <c r="A131" s="256"/>
      <c r="B131" s="270"/>
      <c r="C131" s="256"/>
      <c r="D131" s="265"/>
      <c r="E131" s="7"/>
      <c r="F131" s="256"/>
      <c r="G131" s="262"/>
      <c r="H131" s="262"/>
      <c r="I131" s="262"/>
      <c r="J131" s="262"/>
      <c r="K131" s="262"/>
      <c r="L131" s="262"/>
      <c r="M131" s="1"/>
      <c r="N131" s="1"/>
    </row>
    <row r="132" spans="1:14" ht="33" x14ac:dyDescent="0.45">
      <c r="A132" s="268"/>
      <c r="C132" s="257"/>
      <c r="D132" s="266"/>
      <c r="E132" s="1"/>
      <c r="F132" s="259" t="s">
        <v>2</v>
      </c>
      <c r="G132" s="259"/>
      <c r="H132" s="259"/>
      <c r="I132" s="259"/>
      <c r="J132" s="259"/>
      <c r="K132" s="259"/>
      <c r="L132" s="259"/>
    </row>
    <row r="138" spans="1:14" x14ac:dyDescent="0.2">
      <c r="E138" s="4"/>
      <c r="F138" s="260"/>
    </row>
    <row r="139" spans="1:14" x14ac:dyDescent="0.2">
      <c r="E139" s="4"/>
      <c r="F139" s="260"/>
    </row>
    <row r="140" spans="1:14" x14ac:dyDescent="0.2">
      <c r="E140" s="4"/>
      <c r="F140" s="260"/>
    </row>
    <row r="141" spans="1:14" x14ac:dyDescent="0.2">
      <c r="E141" s="4"/>
      <c r="F141" s="260"/>
    </row>
    <row r="144" spans="1:14" ht="15.75" x14ac:dyDescent="0.2">
      <c r="G144" s="263"/>
    </row>
    <row r="145" spans="7:7" ht="15.75" x14ac:dyDescent="0.2">
      <c r="G145" s="263"/>
    </row>
    <row r="146" spans="7:7" ht="15.75" x14ac:dyDescent="0.2">
      <c r="G146" s="263"/>
    </row>
    <row r="147" spans="7:7" ht="15.75" x14ac:dyDescent="0.2">
      <c r="G147" s="264"/>
    </row>
    <row r="148" spans="7:7" ht="15.75" x14ac:dyDescent="0.2">
      <c r="G148" s="264"/>
    </row>
  </sheetData>
  <mergeCells count="263">
    <mergeCell ref="K3:L3"/>
    <mergeCell ref="M127:M128"/>
    <mergeCell ref="A116:E116"/>
    <mergeCell ref="A117:E122"/>
    <mergeCell ref="H103:H104"/>
    <mergeCell ref="H111:H112"/>
    <mergeCell ref="H91:H92"/>
    <mergeCell ref="A97:E97"/>
    <mergeCell ref="A103:A107"/>
    <mergeCell ref="B103:B107"/>
    <mergeCell ref="E103:E107"/>
    <mergeCell ref="A108:A109"/>
    <mergeCell ref="B108:B109"/>
    <mergeCell ref="E108:E109"/>
    <mergeCell ref="A90:A92"/>
    <mergeCell ref="B98:B101"/>
    <mergeCell ref="C99:C101"/>
    <mergeCell ref="M111:M112"/>
    <mergeCell ref="L111:L112"/>
    <mergeCell ref="I99:I101"/>
    <mergeCell ref="L103:L104"/>
    <mergeCell ref="I103:I104"/>
    <mergeCell ref="J103:J104"/>
    <mergeCell ref="I111:I112"/>
    <mergeCell ref="C103:C104"/>
    <mergeCell ref="A110:E110"/>
    <mergeCell ref="D111:D112"/>
    <mergeCell ref="K2:M2"/>
    <mergeCell ref="A54:A58"/>
    <mergeCell ref="B54:B58"/>
    <mergeCell ref="A98:A101"/>
    <mergeCell ref="F91:F92"/>
    <mergeCell ref="A24:A27"/>
    <mergeCell ref="E78:E79"/>
    <mergeCell ref="E54:E58"/>
    <mergeCell ref="A61:A65"/>
    <mergeCell ref="B61:B65"/>
    <mergeCell ref="B24:B27"/>
    <mergeCell ref="E24:E26"/>
    <mergeCell ref="A28:E29"/>
    <mergeCell ref="A4:M4"/>
    <mergeCell ref="B35:B38"/>
    <mergeCell ref="E35:E38"/>
    <mergeCell ref="H36:H37"/>
    <mergeCell ref="I36:I37"/>
    <mergeCell ref="J36:J37"/>
    <mergeCell ref="L45:L46"/>
    <mergeCell ref="L36:L37"/>
    <mergeCell ref="K36:K37"/>
    <mergeCell ref="M28:M29"/>
    <mergeCell ref="A30:E33"/>
    <mergeCell ref="M30:M33"/>
    <mergeCell ref="A35:A38"/>
    <mergeCell ref="L31:L33"/>
    <mergeCell ref="J31:J33"/>
    <mergeCell ref="B78:B81"/>
    <mergeCell ref="A82:A85"/>
    <mergeCell ref="A13:A16"/>
    <mergeCell ref="B13:B16"/>
    <mergeCell ref="E13:E16"/>
    <mergeCell ref="M13:M16"/>
    <mergeCell ref="L17:M17"/>
    <mergeCell ref="C21:C22"/>
    <mergeCell ref="B19:B23"/>
    <mergeCell ref="A19:A23"/>
    <mergeCell ref="M19:M22"/>
    <mergeCell ref="D21:D22"/>
    <mergeCell ref="E19:E23"/>
    <mergeCell ref="C15:C16"/>
    <mergeCell ref="M35:M38"/>
    <mergeCell ref="A39:A43"/>
    <mergeCell ref="B39:B43"/>
    <mergeCell ref="E39:E43"/>
    <mergeCell ref="M39:M43"/>
    <mergeCell ref="A44:A48"/>
    <mergeCell ref="B44:B48"/>
    <mergeCell ref="M44:M48"/>
    <mergeCell ref="E44:E48"/>
    <mergeCell ref="F45:F46"/>
    <mergeCell ref="E82:E85"/>
    <mergeCell ref="G94:G95"/>
    <mergeCell ref="M24:M27"/>
    <mergeCell ref="B71:B74"/>
    <mergeCell ref="E71:E74"/>
    <mergeCell ref="I69:I70"/>
    <mergeCell ref="J69:J70"/>
    <mergeCell ref="H75:H76"/>
    <mergeCell ref="I75:I76"/>
    <mergeCell ref="C45:C46"/>
    <mergeCell ref="C90:C92"/>
    <mergeCell ref="D90:D92"/>
    <mergeCell ref="E90:E92"/>
    <mergeCell ref="A93:E96"/>
    <mergeCell ref="F94:F95"/>
    <mergeCell ref="F69:F70"/>
    <mergeCell ref="D45:D46"/>
    <mergeCell ref="B86:B89"/>
    <mergeCell ref="A130:F130"/>
    <mergeCell ref="E98:E101"/>
    <mergeCell ref="C64:C65"/>
    <mergeCell ref="D64:D65"/>
    <mergeCell ref="A102:E102"/>
    <mergeCell ref="B111:B112"/>
    <mergeCell ref="A111:A112"/>
    <mergeCell ref="C111:C112"/>
    <mergeCell ref="F52:F53"/>
    <mergeCell ref="F125:F126"/>
    <mergeCell ref="F127:F128"/>
    <mergeCell ref="A75:A77"/>
    <mergeCell ref="B75:B77"/>
    <mergeCell ref="E75:E77"/>
    <mergeCell ref="E80:E81"/>
    <mergeCell ref="E111:E112"/>
    <mergeCell ref="D75:D76"/>
    <mergeCell ref="C75:C76"/>
    <mergeCell ref="A78:A81"/>
    <mergeCell ref="E66:E70"/>
    <mergeCell ref="A71:A74"/>
    <mergeCell ref="D103:D104"/>
    <mergeCell ref="C69:C70"/>
    <mergeCell ref="D69:D70"/>
    <mergeCell ref="L52:L53"/>
    <mergeCell ref="F31:F33"/>
    <mergeCell ref="D99:D101"/>
    <mergeCell ref="A60:E60"/>
    <mergeCell ref="F64:F65"/>
    <mergeCell ref="C36:C37"/>
    <mergeCell ref="D36:D37"/>
    <mergeCell ref="F36:F37"/>
    <mergeCell ref="I52:I53"/>
    <mergeCell ref="J52:J53"/>
    <mergeCell ref="I64:I65"/>
    <mergeCell ref="J64:J65"/>
    <mergeCell ref="K45:K46"/>
    <mergeCell ref="K64:K65"/>
    <mergeCell ref="C41:C42"/>
    <mergeCell ref="D41:D42"/>
    <mergeCell ref="C39:C40"/>
    <mergeCell ref="H31:H33"/>
    <mergeCell ref="I31:I33"/>
    <mergeCell ref="H45:H46"/>
    <mergeCell ref="B82:B85"/>
    <mergeCell ref="I45:I46"/>
    <mergeCell ref="J45:J46"/>
    <mergeCell ref="A86:A89"/>
    <mergeCell ref="E86:E88"/>
    <mergeCell ref="B90:B92"/>
    <mergeCell ref="E61:E65"/>
    <mergeCell ref="A66:A70"/>
    <mergeCell ref="B66:B70"/>
    <mergeCell ref="M54:M58"/>
    <mergeCell ref="M61:M65"/>
    <mergeCell ref="M50:M53"/>
    <mergeCell ref="M66:M70"/>
    <mergeCell ref="M71:M74"/>
    <mergeCell ref="M75:M77"/>
    <mergeCell ref="K75:K76"/>
    <mergeCell ref="K69:K70"/>
    <mergeCell ref="L69:L70"/>
    <mergeCell ref="L75:L76"/>
    <mergeCell ref="L64:L65"/>
    <mergeCell ref="M78:M79"/>
    <mergeCell ref="L91:L92"/>
    <mergeCell ref="M80:M81"/>
    <mergeCell ref="M82:M85"/>
    <mergeCell ref="M86:M88"/>
    <mergeCell ref="M90:M92"/>
    <mergeCell ref="K91:K92"/>
    <mergeCell ref="H69:H70"/>
    <mergeCell ref="A8:A11"/>
    <mergeCell ref="B8:B11"/>
    <mergeCell ref="C8:C11"/>
    <mergeCell ref="D8:D11"/>
    <mergeCell ref="E8:E11"/>
    <mergeCell ref="F8:F11"/>
    <mergeCell ref="M8:M11"/>
    <mergeCell ref="L10:L11"/>
    <mergeCell ref="H10:H11"/>
    <mergeCell ref="I10:I11"/>
    <mergeCell ref="J10:J11"/>
    <mergeCell ref="K10:K11"/>
    <mergeCell ref="G10:G11"/>
    <mergeCell ref="M93:M96"/>
    <mergeCell ref="H94:H95"/>
    <mergeCell ref="I94:I95"/>
    <mergeCell ref="J94:J95"/>
    <mergeCell ref="K94:K95"/>
    <mergeCell ref="L94:L95"/>
    <mergeCell ref="M98:M101"/>
    <mergeCell ref="K99:K101"/>
    <mergeCell ref="H99:H101"/>
    <mergeCell ref="L99:L101"/>
    <mergeCell ref="H125:H126"/>
    <mergeCell ref="I125:I126"/>
    <mergeCell ref="J125:J126"/>
    <mergeCell ref="M117:M122"/>
    <mergeCell ref="F123:F124"/>
    <mergeCell ref="G123:G124"/>
    <mergeCell ref="K123:K124"/>
    <mergeCell ref="M123:M124"/>
    <mergeCell ref="M103:M107"/>
    <mergeCell ref="M108:M109"/>
    <mergeCell ref="L125:L126"/>
    <mergeCell ref="L119:L120"/>
    <mergeCell ref="M125:M126"/>
    <mergeCell ref="J111:J112"/>
    <mergeCell ref="L127:L128"/>
    <mergeCell ref="L123:L124"/>
    <mergeCell ref="I119:I120"/>
    <mergeCell ref="J119:J120"/>
    <mergeCell ref="I121:I122"/>
    <mergeCell ref="J121:J122"/>
    <mergeCell ref="L121:L122"/>
    <mergeCell ref="I127:I128"/>
    <mergeCell ref="J127:J128"/>
    <mergeCell ref="H127:H128"/>
    <mergeCell ref="G125:G126"/>
    <mergeCell ref="H52:H53"/>
    <mergeCell ref="H64:H65"/>
    <mergeCell ref="F75:F76"/>
    <mergeCell ref="J99:J101"/>
    <mergeCell ref="I123:I124"/>
    <mergeCell ref="J123:J124"/>
    <mergeCell ref="D105:D106"/>
    <mergeCell ref="F111:F112"/>
    <mergeCell ref="F103:F104"/>
    <mergeCell ref="F99:F101"/>
    <mergeCell ref="G99:G101"/>
    <mergeCell ref="G103:G104"/>
    <mergeCell ref="G111:G112"/>
    <mergeCell ref="G119:G120"/>
    <mergeCell ref="G121:G122"/>
    <mergeCell ref="H119:H120"/>
    <mergeCell ref="H121:H122"/>
    <mergeCell ref="H123:H124"/>
    <mergeCell ref="F121:F122"/>
    <mergeCell ref="I91:I92"/>
    <mergeCell ref="J91:J92"/>
    <mergeCell ref="J75:J76"/>
    <mergeCell ref="G127:G128"/>
    <mergeCell ref="G8:L9"/>
    <mergeCell ref="A5:M5"/>
    <mergeCell ref="G31:G33"/>
    <mergeCell ref="G36:G37"/>
    <mergeCell ref="G45:G46"/>
    <mergeCell ref="G52:G53"/>
    <mergeCell ref="G64:G65"/>
    <mergeCell ref="G69:G70"/>
    <mergeCell ref="G75:G76"/>
    <mergeCell ref="G91:G92"/>
    <mergeCell ref="K127:K128"/>
    <mergeCell ref="K125:K126"/>
    <mergeCell ref="F119:F120"/>
    <mergeCell ref="K52:K53"/>
    <mergeCell ref="K31:K33"/>
    <mergeCell ref="K103:K104"/>
    <mergeCell ref="K111:K112"/>
    <mergeCell ref="K119:K120"/>
    <mergeCell ref="K121:K122"/>
    <mergeCell ref="A50:E53"/>
    <mergeCell ref="A6:M7"/>
    <mergeCell ref="A123:E126"/>
    <mergeCell ref="A127:E128"/>
  </mergeCells>
  <pageMargins left="0.70866141732283472" right="0.70866141732283472" top="0.74803149606299213" bottom="0.70866141732283472" header="0.31496062992125984" footer="0.31496062992125984"/>
  <pageSetup paperSize="9" scale="46" orientation="landscape" useFirstPageNumber="1" horizontalDpi="4294967295" verticalDpi="4294967295" r:id="rId1"/>
  <headerFooter differentFirst="1">
    <oddHeader>&amp;C&amp;"Times New Roman,обычный"&amp;18&amp;P</oddHeader>
  </headerFooter>
  <rowBreaks count="22" manualBreakCount="22">
    <brk id="15" max="16383" man="1"/>
    <brk id="22" max="16383" man="1"/>
    <brk id="28" max="16383" man="1"/>
    <brk id="33" max="16383" man="1"/>
    <brk id="37" max="16383" man="1"/>
    <brk id="42" max="16383" man="1"/>
    <brk id="48" max="12" man="1"/>
    <brk id="52" max="16383" man="1"/>
    <brk id="57" max="16383" man="1"/>
    <brk id="65" max="12" man="1"/>
    <brk id="70" max="12" man="1"/>
    <brk id="74" max="12" man="1"/>
    <brk id="81" max="12" man="1"/>
    <brk id="85" max="12" man="1"/>
    <brk id="89" max="12" man="1"/>
    <brk id="96" max="12" man="1"/>
    <brk id="102" max="12" man="1"/>
    <brk id="107" max="12" man="1"/>
    <brk id="112" max="12" man="1"/>
    <brk id="116" max="12" man="1"/>
    <brk id="122" max="12" man="1"/>
    <brk id="126" max="12"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DF276"/>
  <sheetViews>
    <sheetView topLeftCell="A243" zoomScale="40" zoomScaleNormal="40" workbookViewId="0">
      <selection activeCell="Q272" sqref="Q272"/>
    </sheetView>
  </sheetViews>
  <sheetFormatPr defaultColWidth="9.140625" defaultRowHeight="18.75" x14ac:dyDescent="0.3"/>
  <cols>
    <col min="1" max="1" width="7.7109375" style="16" customWidth="1"/>
    <col min="2" max="2" width="13.140625" style="17" customWidth="1"/>
    <col min="3" max="3" width="125.42578125" style="18" customWidth="1"/>
    <col min="4" max="4" width="21.28515625" style="19" bestFit="1" customWidth="1"/>
    <col min="5" max="5" width="47.85546875" style="17" customWidth="1"/>
    <col min="6" max="6" width="45.5703125" style="17" customWidth="1"/>
    <col min="7" max="7" width="38.28515625" style="17" hidden="1" customWidth="1"/>
    <col min="8" max="8" width="38.5703125" style="17" hidden="1" customWidth="1"/>
    <col min="9" max="9" width="37.5703125" style="17" hidden="1" customWidth="1"/>
    <col min="10" max="10" width="70.7109375" style="17" hidden="1" customWidth="1"/>
    <col min="11" max="11" width="38.85546875" style="17" customWidth="1"/>
    <col min="12" max="12" width="46.140625" style="17" customWidth="1"/>
    <col min="13" max="13" width="38.85546875" style="17" customWidth="1"/>
    <col min="14" max="14" width="102.42578125" style="17" hidden="1" customWidth="1"/>
    <col min="15" max="15" width="38.85546875" style="17" hidden="1" customWidth="1"/>
    <col min="16" max="16" width="90.140625" style="17" hidden="1" customWidth="1"/>
    <col min="17" max="17" width="39.28515625" style="16" customWidth="1"/>
    <col min="18" max="18" width="36.28515625" style="16" customWidth="1"/>
    <col min="19" max="19" width="40.7109375" style="16" customWidth="1"/>
    <col min="20" max="16384" width="9.140625" style="16"/>
  </cols>
  <sheetData>
    <row r="1" spans="1:26" ht="45.75" customHeight="1" x14ac:dyDescent="0.3">
      <c r="A1" s="374" t="s">
        <v>82</v>
      </c>
      <c r="B1" s="374"/>
      <c r="C1" s="374"/>
      <c r="D1" s="374"/>
      <c r="E1" s="374"/>
      <c r="F1" s="374"/>
      <c r="G1" s="374"/>
      <c r="H1" s="374"/>
      <c r="I1" s="374"/>
      <c r="J1" s="374"/>
      <c r="K1" s="374"/>
      <c r="L1" s="374"/>
      <c r="M1" s="374"/>
      <c r="N1" s="374"/>
      <c r="O1" s="374"/>
      <c r="P1" s="374"/>
    </row>
    <row r="2" spans="1:26" x14ac:dyDescent="0.3">
      <c r="H2" s="20"/>
      <c r="I2" s="20"/>
      <c r="J2" s="20"/>
      <c r="K2" s="20"/>
      <c r="L2" s="20"/>
      <c r="M2" s="20"/>
      <c r="N2" s="20"/>
      <c r="O2" s="20"/>
      <c r="P2" s="20" t="s">
        <v>83</v>
      </c>
    </row>
    <row r="3" spans="1:26" ht="108.75" customHeight="1" x14ac:dyDescent="0.45">
      <c r="A3" s="21" t="s">
        <v>84</v>
      </c>
      <c r="B3" s="22" t="s">
        <v>85</v>
      </c>
      <c r="C3" s="22" t="s">
        <v>86</v>
      </c>
      <c r="D3" s="23"/>
      <c r="E3" s="22" t="s">
        <v>87</v>
      </c>
      <c r="F3" s="22" t="s">
        <v>88</v>
      </c>
      <c r="G3" s="22" t="s">
        <v>89</v>
      </c>
      <c r="H3" s="22" t="s">
        <v>90</v>
      </c>
      <c r="I3" s="22" t="s">
        <v>91</v>
      </c>
      <c r="J3" s="22" t="s">
        <v>92</v>
      </c>
      <c r="K3" s="22" t="s">
        <v>93</v>
      </c>
      <c r="L3" s="22" t="s">
        <v>94</v>
      </c>
      <c r="M3" s="22" t="s">
        <v>95</v>
      </c>
      <c r="N3" s="22" t="s">
        <v>92</v>
      </c>
      <c r="O3" s="22" t="s">
        <v>96</v>
      </c>
      <c r="P3" s="22" t="s">
        <v>92</v>
      </c>
      <c r="Q3" s="24"/>
    </row>
    <row r="4" spans="1:26" x14ac:dyDescent="0.3">
      <c r="A4" s="25">
        <v>1</v>
      </c>
      <c r="B4" s="26">
        <v>2</v>
      </c>
      <c r="C4" s="26">
        <v>3</v>
      </c>
      <c r="D4" s="26"/>
      <c r="E4" s="26">
        <v>4</v>
      </c>
      <c r="F4" s="26">
        <v>5</v>
      </c>
      <c r="G4" s="26">
        <v>6</v>
      </c>
      <c r="H4" s="26">
        <v>5</v>
      </c>
      <c r="I4" s="26"/>
      <c r="J4" s="26"/>
      <c r="K4" s="26"/>
      <c r="L4" s="26"/>
      <c r="M4" s="26"/>
      <c r="N4" s="26"/>
      <c r="O4" s="26"/>
      <c r="P4" s="26"/>
    </row>
    <row r="5" spans="1:26" ht="57" customHeight="1" x14ac:dyDescent="0.45">
      <c r="A5" s="27"/>
      <c r="B5" s="28"/>
      <c r="C5" s="29" t="s">
        <v>97</v>
      </c>
      <c r="D5" s="30"/>
      <c r="E5" s="31">
        <f>E6+E7</f>
        <v>1800035288</v>
      </c>
      <c r="F5" s="31">
        <f t="shared" ref="F5:O5" si="0">F6+F7</f>
        <v>2494444395</v>
      </c>
      <c r="G5" s="31" t="e">
        <f t="shared" si="0"/>
        <v>#REF!</v>
      </c>
      <c r="H5" s="31" t="e">
        <f t="shared" si="0"/>
        <v>#REF!</v>
      </c>
      <c r="I5" s="31" t="e">
        <f t="shared" si="0"/>
        <v>#REF!</v>
      </c>
      <c r="J5" s="31"/>
      <c r="K5" s="31">
        <f t="shared" si="0"/>
        <v>2123694627</v>
      </c>
      <c r="L5" s="31">
        <f t="shared" si="0"/>
        <v>1708396700</v>
      </c>
      <c r="M5" s="31">
        <f t="shared" si="0"/>
        <v>1765352500</v>
      </c>
      <c r="N5" s="31"/>
      <c r="O5" s="31" t="e">
        <f t="shared" si="0"/>
        <v>#REF!</v>
      </c>
      <c r="P5" s="28"/>
      <c r="Q5" s="32"/>
      <c r="R5" s="32"/>
      <c r="S5" s="32"/>
      <c r="T5" s="32"/>
      <c r="U5" s="32"/>
      <c r="V5" s="32"/>
      <c r="W5" s="32"/>
      <c r="X5" s="32"/>
      <c r="Y5" s="32"/>
      <c r="Z5" s="32"/>
    </row>
    <row r="6" spans="1:26" ht="39" customHeight="1" x14ac:dyDescent="0.45">
      <c r="A6" s="27"/>
      <c r="B6" s="28"/>
      <c r="C6" s="33" t="s">
        <v>98</v>
      </c>
      <c r="D6" s="34"/>
      <c r="E6" s="31">
        <f t="shared" ref="E6:M6" si="1">E16+E26+E38+E85+E110+E126+E152+E157+E114+E32+E159</f>
        <v>1496700170</v>
      </c>
      <c r="F6" s="31">
        <f t="shared" si="1"/>
        <v>1766145084.28</v>
      </c>
      <c r="G6" s="31" t="e">
        <f t="shared" si="1"/>
        <v>#REF!</v>
      </c>
      <c r="H6" s="31" t="e">
        <f t="shared" si="1"/>
        <v>#REF!</v>
      </c>
      <c r="I6" s="31" t="e">
        <f t="shared" si="1"/>
        <v>#REF!</v>
      </c>
      <c r="J6" s="31">
        <f t="shared" si="1"/>
        <v>0</v>
      </c>
      <c r="K6" s="31">
        <f t="shared" si="1"/>
        <v>1701192200</v>
      </c>
      <c r="L6" s="31">
        <f t="shared" si="1"/>
        <v>1684822100</v>
      </c>
      <c r="M6" s="31">
        <f t="shared" si="1"/>
        <v>1745661300</v>
      </c>
      <c r="N6" s="31"/>
      <c r="O6" s="31" t="e">
        <f>O16+O26+O38+O85+O110+#REF!+O126+O152+O157+O114+O32</f>
        <v>#REF!</v>
      </c>
      <c r="P6" s="28"/>
      <c r="Q6" s="35">
        <f>N6-K6</f>
        <v>-1701192200</v>
      </c>
      <c r="R6" s="35"/>
      <c r="S6" s="32"/>
      <c r="T6" s="32"/>
      <c r="U6" s="32"/>
      <c r="V6" s="32"/>
      <c r="W6" s="32"/>
      <c r="X6" s="32"/>
      <c r="Y6" s="32"/>
      <c r="Z6" s="32"/>
    </row>
    <row r="7" spans="1:26" ht="42" customHeight="1" x14ac:dyDescent="0.45">
      <c r="A7" s="27"/>
      <c r="B7" s="28"/>
      <c r="C7" s="33" t="s">
        <v>99</v>
      </c>
      <c r="D7" s="34"/>
      <c r="E7" s="31">
        <f>E182+E191+E195+E204+E223+E233+E243+E246+E249+E185</f>
        <v>303335118</v>
      </c>
      <c r="F7" s="31">
        <f t="shared" ref="F7:M7" si="2">F182+F191+F195+F204+F223+F233+F243+F246+F249+F185</f>
        <v>728299310.72000003</v>
      </c>
      <c r="G7" s="31">
        <f t="shared" si="2"/>
        <v>69962106.140000001</v>
      </c>
      <c r="H7" s="31">
        <f t="shared" si="2"/>
        <v>650823171.44999993</v>
      </c>
      <c r="I7" s="31">
        <f t="shared" si="2"/>
        <v>508312257</v>
      </c>
      <c r="J7" s="31" t="e">
        <f t="shared" si="2"/>
        <v>#VALUE!</v>
      </c>
      <c r="K7" s="31">
        <f t="shared" si="2"/>
        <v>422502427</v>
      </c>
      <c r="L7" s="31">
        <f>L182+L191+L195+L204+L223+L233+L243+L246+M250+L185</f>
        <v>23574600</v>
      </c>
      <c r="M7" s="31">
        <f t="shared" si="2"/>
        <v>19691200</v>
      </c>
      <c r="N7" s="31"/>
      <c r="O7" s="31" t="e">
        <f>O182+O191+O195+O204+O223+O233+O243+#REF!+O246+O249</f>
        <v>#REF!</v>
      </c>
      <c r="P7" s="28"/>
      <c r="Q7" s="35"/>
      <c r="R7" s="32"/>
      <c r="S7" s="32"/>
      <c r="T7" s="32"/>
      <c r="U7" s="32"/>
      <c r="V7" s="32"/>
      <c r="W7" s="32"/>
      <c r="X7" s="32"/>
      <c r="Y7" s="32"/>
      <c r="Z7" s="32"/>
    </row>
    <row r="8" spans="1:26" ht="33.75" customHeight="1" x14ac:dyDescent="0.4">
      <c r="A8" s="375" t="s">
        <v>100</v>
      </c>
      <c r="B8" s="376"/>
      <c r="C8" s="376"/>
      <c r="D8" s="376"/>
      <c r="E8" s="376"/>
      <c r="F8" s="376"/>
      <c r="G8" s="376"/>
      <c r="H8" s="376"/>
      <c r="I8" s="376"/>
      <c r="J8" s="376"/>
      <c r="K8" s="376"/>
      <c r="L8" s="376"/>
      <c r="M8" s="376"/>
      <c r="N8" s="376"/>
      <c r="O8" s="376"/>
      <c r="P8" s="376"/>
      <c r="Q8" s="35">
        <f>1684822100</f>
        <v>1684822100</v>
      </c>
      <c r="R8" s="35">
        <f>1745661300</f>
        <v>1745661300</v>
      </c>
      <c r="S8" s="32"/>
      <c r="T8" s="32"/>
      <c r="U8" s="32"/>
      <c r="V8" s="32"/>
      <c r="W8" s="32"/>
      <c r="X8" s="32"/>
      <c r="Y8" s="32"/>
      <c r="Z8" s="32"/>
    </row>
    <row r="9" spans="1:26" ht="31.5" customHeight="1" x14ac:dyDescent="0.3">
      <c r="A9" s="377" t="s">
        <v>101</v>
      </c>
      <c r="B9" s="378"/>
      <c r="C9" s="378"/>
      <c r="D9" s="378"/>
      <c r="E9" s="378"/>
      <c r="F9" s="378"/>
      <c r="G9" s="378"/>
      <c r="H9" s="378"/>
      <c r="I9" s="378"/>
      <c r="J9" s="378"/>
      <c r="K9" s="378"/>
      <c r="L9" s="378"/>
      <c r="M9" s="378"/>
      <c r="N9" s="378"/>
      <c r="O9" s="378"/>
      <c r="P9" s="378"/>
      <c r="Q9" s="36"/>
      <c r="R9" s="37"/>
      <c r="S9" s="37"/>
      <c r="T9" s="37"/>
      <c r="U9" s="37"/>
      <c r="V9" s="37"/>
      <c r="W9" s="37"/>
      <c r="X9" s="37"/>
      <c r="Y9" s="37"/>
      <c r="Z9" s="32"/>
    </row>
    <row r="10" spans="1:26" ht="158.25" customHeight="1" x14ac:dyDescent="0.4">
      <c r="A10" s="38" t="s">
        <v>102</v>
      </c>
      <c r="B10" s="39" t="s">
        <v>103</v>
      </c>
      <c r="C10" s="40" t="s">
        <v>104</v>
      </c>
      <c r="D10" s="41">
        <v>2610</v>
      </c>
      <c r="E10" s="42">
        <f>E11+E12+E13+E14+E15</f>
        <v>2286893</v>
      </c>
      <c r="F10" s="42">
        <f>F11+F12+F13+F14+F15</f>
        <v>2286893</v>
      </c>
      <c r="G10" s="43">
        <f>G11+G12+G13+G14+G15</f>
        <v>1138664.3700000001</v>
      </c>
      <c r="H10" s="42">
        <f t="shared" ref="H10:H15" si="3">F10-G10</f>
        <v>1148228.6299999999</v>
      </c>
      <c r="I10" s="42">
        <f>I11+I12+I13+I14+I15</f>
        <v>2286893</v>
      </c>
      <c r="J10" s="44" t="s">
        <v>105</v>
      </c>
      <c r="K10" s="42">
        <f>K11+K12+K13+K14+K15</f>
        <v>2300000</v>
      </c>
      <c r="L10" s="42">
        <f>L11+L12+L13+L14+L15</f>
        <v>2457693</v>
      </c>
      <c r="M10" s="42">
        <f>M11+M12+M13+M14+M15</f>
        <v>2569187</v>
      </c>
      <c r="N10" s="44"/>
      <c r="O10" s="42">
        <f>O11+O12+O13+O14+O15</f>
        <v>2821134</v>
      </c>
      <c r="P10" s="39" t="s">
        <v>106</v>
      </c>
      <c r="Q10" s="45">
        <f>L6-Q8</f>
        <v>0</v>
      </c>
      <c r="R10" s="35">
        <f>264340+1888382+1449937+2015829+916219+687960+6212856+3771900+1220000</f>
        <v>18427423</v>
      </c>
      <c r="S10" s="37"/>
      <c r="T10" s="37"/>
      <c r="U10" s="37"/>
      <c r="V10" s="37"/>
      <c r="W10" s="37"/>
      <c r="X10" s="37"/>
      <c r="Y10" s="37"/>
      <c r="Z10" s="32"/>
    </row>
    <row r="11" spans="1:26" ht="67.5" customHeight="1" x14ac:dyDescent="0.4">
      <c r="A11" s="38"/>
      <c r="B11" s="39"/>
      <c r="C11" s="46" t="s">
        <v>107</v>
      </c>
      <c r="D11" s="41"/>
      <c r="E11" s="44">
        <v>757958</v>
      </c>
      <c r="F11" s="44">
        <f>493133+305964</f>
        <v>799097</v>
      </c>
      <c r="G11" s="47">
        <v>503274.41</v>
      </c>
      <c r="H11" s="44">
        <f t="shared" si="3"/>
        <v>295822.59000000003</v>
      </c>
      <c r="I11" s="44">
        <f>522552+318171</f>
        <v>840723</v>
      </c>
      <c r="J11" s="44"/>
      <c r="K11" s="44">
        <f>524683+318171</f>
        <v>842854</v>
      </c>
      <c r="L11" s="44">
        <f>524683+318171</f>
        <v>842854</v>
      </c>
      <c r="M11" s="44">
        <f>524683+318171</f>
        <v>842854</v>
      </c>
      <c r="N11" s="44"/>
      <c r="O11" s="44">
        <f>526814+318171</f>
        <v>844985</v>
      </c>
      <c r="P11" s="38"/>
      <c r="Q11" s="35"/>
      <c r="R11" s="48"/>
      <c r="S11" s="37"/>
      <c r="T11" s="37"/>
      <c r="U11" s="37"/>
      <c r="V11" s="37"/>
      <c r="W11" s="37"/>
      <c r="X11" s="37"/>
      <c r="Y11" s="37"/>
      <c r="Z11" s="32"/>
    </row>
    <row r="12" spans="1:26" ht="69.75" customHeight="1" x14ac:dyDescent="0.4">
      <c r="A12" s="38"/>
      <c r="B12" s="39"/>
      <c r="C12" s="46" t="s">
        <v>108</v>
      </c>
      <c r="D12" s="41"/>
      <c r="E12" s="44">
        <v>166751</v>
      </c>
      <c r="F12" s="44">
        <v>175802</v>
      </c>
      <c r="G12" s="47">
        <v>110720.36</v>
      </c>
      <c r="H12" s="44">
        <f t="shared" si="3"/>
        <v>65081.64</v>
      </c>
      <c r="I12" s="44">
        <f>184960</f>
        <v>184960</v>
      </c>
      <c r="J12" s="44"/>
      <c r="K12" s="44">
        <f>185430</f>
        <v>185430</v>
      </c>
      <c r="L12" s="44">
        <f>185430</f>
        <v>185430</v>
      </c>
      <c r="M12" s="44">
        <f>185430</f>
        <v>185430</v>
      </c>
      <c r="N12" s="44"/>
      <c r="O12" s="44">
        <f>185897</f>
        <v>185897</v>
      </c>
      <c r="P12" s="38"/>
      <c r="Q12" s="35"/>
      <c r="R12" s="37"/>
      <c r="S12" s="37"/>
      <c r="T12" s="37"/>
      <c r="U12" s="37"/>
      <c r="V12" s="37"/>
      <c r="W12" s="37"/>
      <c r="X12" s="37"/>
      <c r="Y12" s="37"/>
      <c r="Z12" s="32"/>
    </row>
    <row r="13" spans="1:26" ht="69.75" customHeight="1" x14ac:dyDescent="0.4">
      <c r="A13" s="38"/>
      <c r="B13" s="39"/>
      <c r="C13" s="46" t="s">
        <v>109</v>
      </c>
      <c r="D13" s="41"/>
      <c r="E13" s="44">
        <v>329442</v>
      </c>
      <c r="F13" s="44">
        <v>311917</v>
      </c>
      <c r="G13" s="47">
        <v>84202.8</v>
      </c>
      <c r="H13" s="44">
        <f t="shared" si="3"/>
        <v>227714.2</v>
      </c>
      <c r="I13" s="44">
        <v>256674</v>
      </c>
      <c r="J13" s="44"/>
      <c r="K13" s="44">
        <v>310522</v>
      </c>
      <c r="L13" s="44">
        <v>349027</v>
      </c>
      <c r="M13" s="44">
        <v>376251</v>
      </c>
      <c r="N13" s="44"/>
      <c r="O13" s="44">
        <v>343720</v>
      </c>
      <c r="P13" s="38"/>
      <c r="Q13" s="35"/>
      <c r="R13" s="35">
        <f>M6-R8</f>
        <v>0</v>
      </c>
      <c r="S13" s="37"/>
      <c r="T13" s="37"/>
      <c r="U13" s="37"/>
      <c r="V13" s="37"/>
      <c r="W13" s="37"/>
      <c r="X13" s="37"/>
      <c r="Y13" s="37"/>
      <c r="Z13" s="32"/>
    </row>
    <row r="14" spans="1:26" ht="69.75" customHeight="1" x14ac:dyDescent="0.4">
      <c r="A14" s="38"/>
      <c r="B14" s="39"/>
      <c r="C14" s="46" t="s">
        <v>110</v>
      </c>
      <c r="D14" s="41"/>
      <c r="E14" s="44">
        <v>5227</v>
      </c>
      <c r="F14" s="44">
        <v>5227</v>
      </c>
      <c r="G14" s="47">
        <v>2116.8000000000002</v>
      </c>
      <c r="H14" s="44">
        <f t="shared" si="3"/>
        <v>3110.2</v>
      </c>
      <c r="I14" s="44">
        <v>3736</v>
      </c>
      <c r="J14" s="44"/>
      <c r="K14" s="44">
        <v>4558</v>
      </c>
      <c r="L14" s="44">
        <v>5123</v>
      </c>
      <c r="M14" s="44">
        <v>5523</v>
      </c>
      <c r="N14" s="44"/>
      <c r="O14" s="44">
        <v>5380</v>
      </c>
      <c r="P14" s="38"/>
      <c r="Q14" s="35"/>
      <c r="R14" s="37"/>
      <c r="S14" s="37"/>
      <c r="T14" s="37"/>
      <c r="U14" s="37"/>
      <c r="V14" s="37"/>
      <c r="W14" s="37"/>
      <c r="X14" s="37"/>
      <c r="Y14" s="37"/>
      <c r="Z14" s="32"/>
    </row>
    <row r="15" spans="1:26" ht="182.25" customHeight="1" x14ac:dyDescent="0.4">
      <c r="A15" s="38"/>
      <c r="B15" s="39"/>
      <c r="C15" s="40" t="s">
        <v>111</v>
      </c>
      <c r="D15" s="41"/>
      <c r="E15" s="44">
        <v>1027515</v>
      </c>
      <c r="F15" s="44">
        <v>994850</v>
      </c>
      <c r="G15" s="47">
        <f>364500+73850</f>
        <v>438350</v>
      </c>
      <c r="H15" s="44">
        <f t="shared" si="3"/>
        <v>556500</v>
      </c>
      <c r="I15" s="44">
        <v>1000800</v>
      </c>
      <c r="J15" s="44"/>
      <c r="K15" s="44">
        <f>719019+501957-264340</f>
        <v>956636</v>
      </c>
      <c r="L15" s="44">
        <v>1075259</v>
      </c>
      <c r="M15" s="44">
        <v>1159129</v>
      </c>
      <c r="N15" s="44"/>
      <c r="O15" s="44">
        <v>1441152</v>
      </c>
      <c r="P15" s="38"/>
      <c r="Q15" s="35"/>
      <c r="R15" s="37"/>
      <c r="S15" s="37"/>
      <c r="T15" s="37"/>
      <c r="U15" s="37"/>
      <c r="V15" s="37"/>
      <c r="W15" s="37"/>
      <c r="X15" s="37"/>
      <c r="Y15" s="37"/>
      <c r="Z15" s="32"/>
    </row>
    <row r="16" spans="1:26" ht="30.75" customHeight="1" x14ac:dyDescent="0.4">
      <c r="A16" s="49"/>
      <c r="B16" s="49"/>
      <c r="C16" s="50" t="s">
        <v>112</v>
      </c>
      <c r="D16" s="34"/>
      <c r="E16" s="31">
        <f>E10</f>
        <v>2286893</v>
      </c>
      <c r="F16" s="31">
        <f>F10</f>
        <v>2286893</v>
      </c>
      <c r="G16" s="31">
        <f t="shared" ref="G16:O16" si="4">G10</f>
        <v>1138664.3700000001</v>
      </c>
      <c r="H16" s="31">
        <f t="shared" si="4"/>
        <v>1148228.6299999999</v>
      </c>
      <c r="I16" s="31">
        <f t="shared" si="4"/>
        <v>2286893</v>
      </c>
      <c r="J16" s="31"/>
      <c r="K16" s="31">
        <f t="shared" si="4"/>
        <v>2300000</v>
      </c>
      <c r="L16" s="31">
        <f t="shared" si="4"/>
        <v>2457693</v>
      </c>
      <c r="M16" s="31">
        <f t="shared" si="4"/>
        <v>2569187</v>
      </c>
      <c r="N16" s="31"/>
      <c r="O16" s="31">
        <f t="shared" si="4"/>
        <v>2821134</v>
      </c>
      <c r="P16" s="49"/>
      <c r="Q16" s="35"/>
    </row>
    <row r="17" spans="1:25" ht="31.5" customHeight="1" x14ac:dyDescent="0.4">
      <c r="A17" s="372" t="s">
        <v>113</v>
      </c>
      <c r="B17" s="373"/>
      <c r="C17" s="373"/>
      <c r="D17" s="373"/>
      <c r="E17" s="373"/>
      <c r="F17" s="373"/>
      <c r="G17" s="373"/>
      <c r="H17" s="373"/>
      <c r="I17" s="373"/>
      <c r="J17" s="373"/>
      <c r="K17" s="373"/>
      <c r="L17" s="373"/>
      <c r="M17" s="373"/>
      <c r="N17" s="373"/>
      <c r="O17" s="373"/>
      <c r="P17" s="373"/>
      <c r="Q17" s="35"/>
      <c r="R17" s="37"/>
      <c r="S17" s="37"/>
      <c r="T17" s="37"/>
      <c r="U17" s="37"/>
      <c r="V17" s="37"/>
      <c r="W17" s="37"/>
      <c r="X17" s="37"/>
      <c r="Y17" s="37"/>
    </row>
    <row r="18" spans="1:25" ht="87" customHeight="1" x14ac:dyDescent="0.4">
      <c r="A18" s="379" t="s">
        <v>114</v>
      </c>
      <c r="B18" s="39" t="s">
        <v>115</v>
      </c>
      <c r="C18" s="51" t="s">
        <v>116</v>
      </c>
      <c r="D18" s="52"/>
      <c r="E18" s="38">
        <f>83000+67000</f>
        <v>150000</v>
      </c>
      <c r="F18" s="38">
        <f>F19+F20</f>
        <v>332293.59999999998</v>
      </c>
      <c r="G18" s="38">
        <f>G19+G20</f>
        <v>113493.6</v>
      </c>
      <c r="H18" s="38">
        <f t="shared" ref="H18:H23" si="5">F18-G18</f>
        <v>218799.99999999997</v>
      </c>
      <c r="I18" s="38">
        <v>0</v>
      </c>
      <c r="J18" s="38"/>
      <c r="K18" s="223">
        <f>K19+K20</f>
        <v>500000</v>
      </c>
      <c r="L18" s="38">
        <f>L19+L20</f>
        <v>0</v>
      </c>
      <c r="M18" s="38">
        <f>M19+M20</f>
        <v>0</v>
      </c>
      <c r="N18" s="53"/>
      <c r="O18" s="38">
        <v>0</v>
      </c>
      <c r="P18" s="38"/>
      <c r="Q18" s="35"/>
      <c r="R18" s="37"/>
      <c r="S18" s="37"/>
      <c r="T18" s="37"/>
      <c r="U18" s="37"/>
      <c r="V18" s="37"/>
      <c r="W18" s="37"/>
      <c r="X18" s="37"/>
      <c r="Y18" s="37"/>
    </row>
    <row r="19" spans="1:25" ht="87" customHeight="1" x14ac:dyDescent="0.4">
      <c r="A19" s="380"/>
      <c r="B19" s="54" t="s">
        <v>117</v>
      </c>
      <c r="C19" s="55" t="s">
        <v>118</v>
      </c>
      <c r="D19" s="56" t="s">
        <v>119</v>
      </c>
      <c r="E19" s="57">
        <v>67000</v>
      </c>
      <c r="F19" s="57">
        <v>113493.6</v>
      </c>
      <c r="G19" s="57">
        <v>113493.6</v>
      </c>
      <c r="H19" s="57">
        <f t="shared" si="5"/>
        <v>0</v>
      </c>
      <c r="I19" s="57">
        <v>0</v>
      </c>
      <c r="J19" s="57"/>
      <c r="K19" s="57">
        <v>200000</v>
      </c>
      <c r="L19" s="57">
        <v>0</v>
      </c>
      <c r="M19" s="57">
        <v>0</v>
      </c>
      <c r="N19" s="57"/>
      <c r="O19" s="57">
        <v>0</v>
      </c>
      <c r="P19" s="38"/>
      <c r="Q19" s="35"/>
      <c r="R19" s="37"/>
      <c r="S19" s="37"/>
      <c r="T19" s="37"/>
      <c r="U19" s="37"/>
      <c r="V19" s="37"/>
      <c r="W19" s="37"/>
      <c r="X19" s="37"/>
      <c r="Y19" s="37"/>
    </row>
    <row r="20" spans="1:25" ht="87" customHeight="1" x14ac:dyDescent="0.4">
      <c r="A20" s="380"/>
      <c r="B20" s="54" t="s">
        <v>120</v>
      </c>
      <c r="C20" s="55" t="s">
        <v>121</v>
      </c>
      <c r="D20" s="56" t="s">
        <v>122</v>
      </c>
      <c r="E20" s="57">
        <v>83000</v>
      </c>
      <c r="F20" s="57">
        <f>299200-80400</f>
        <v>218800</v>
      </c>
      <c r="G20" s="57">
        <v>0</v>
      </c>
      <c r="H20" s="57">
        <f t="shared" si="5"/>
        <v>218800</v>
      </c>
      <c r="I20" s="57">
        <v>0</v>
      </c>
      <c r="J20" s="57"/>
      <c r="K20" s="57">
        <v>300000</v>
      </c>
      <c r="L20" s="57">
        <v>0</v>
      </c>
      <c r="M20" s="57">
        <v>0</v>
      </c>
      <c r="N20" s="57"/>
      <c r="O20" s="57">
        <v>0</v>
      </c>
      <c r="P20" s="38"/>
      <c r="Q20" s="35"/>
      <c r="R20" s="37"/>
      <c r="S20" s="37"/>
      <c r="T20" s="37"/>
      <c r="U20" s="37"/>
      <c r="V20" s="37"/>
      <c r="W20" s="37"/>
      <c r="X20" s="37"/>
      <c r="Y20" s="37"/>
    </row>
    <row r="21" spans="1:25" ht="180" customHeight="1" x14ac:dyDescent="0.4">
      <c r="A21" s="380"/>
      <c r="B21" s="58" t="s">
        <v>123</v>
      </c>
      <c r="C21" s="59" t="s">
        <v>124</v>
      </c>
      <c r="D21" s="60">
        <v>2610</v>
      </c>
      <c r="E21" s="38">
        <v>23500000</v>
      </c>
      <c r="F21" s="38">
        <v>19549467.379999999</v>
      </c>
      <c r="G21" s="38" t="e">
        <f>#REF!+#REF!+#REF!+#REF!+#REF!+#REF!+#REF!+#REF!+#REF!+#REF!+#REF!+#REF!+#REF!+#REF!</f>
        <v>#REF!</v>
      </c>
      <c r="H21" s="38" t="e">
        <f t="shared" si="5"/>
        <v>#REF!</v>
      </c>
      <c r="I21" s="38" t="e">
        <f>#REF!+#REF!+#REF!+#REF!+#REF!+#REF!+#REF!+#REF!+#REF!+#REF!+#REF!+#REF!+#REF!+#REF!</f>
        <v>#REF!</v>
      </c>
      <c r="J21" s="38"/>
      <c r="K21" s="223">
        <v>20000000</v>
      </c>
      <c r="L21" s="38">
        <v>0</v>
      </c>
      <c r="M21" s="38">
        <v>0</v>
      </c>
      <c r="N21" s="53"/>
      <c r="O21" s="38" t="e">
        <f>#REF!+#REF!+#REF!+#REF!+#REF!+#REF!+#REF!+#REF!+#REF!+#REF!+#REF!+#REF!+#REF!+#REF!</f>
        <v>#REF!</v>
      </c>
      <c r="P21" s="38"/>
      <c r="Q21" s="35"/>
      <c r="R21" s="37"/>
      <c r="S21" s="37"/>
      <c r="T21" s="37"/>
      <c r="U21" s="37"/>
      <c r="V21" s="37"/>
      <c r="W21" s="37"/>
      <c r="X21" s="37"/>
      <c r="Y21" s="37"/>
    </row>
    <row r="22" spans="1:25" ht="120" customHeight="1" x14ac:dyDescent="0.4">
      <c r="A22" s="380"/>
      <c r="B22" s="58" t="s">
        <v>125</v>
      </c>
      <c r="C22" s="59" t="s">
        <v>126</v>
      </c>
      <c r="D22" s="60">
        <v>2610</v>
      </c>
      <c r="E22" s="38">
        <v>0</v>
      </c>
      <c r="F22" s="38">
        <v>862947.19</v>
      </c>
      <c r="G22" s="38" t="e">
        <f>#REF!+#REF!</f>
        <v>#REF!</v>
      </c>
      <c r="H22" s="38" t="e">
        <f t="shared" si="5"/>
        <v>#REF!</v>
      </c>
      <c r="I22" s="38" t="e">
        <f>#REF!+#REF!</f>
        <v>#REF!</v>
      </c>
      <c r="J22" s="38"/>
      <c r="K22" s="38">
        <v>0</v>
      </c>
      <c r="L22" s="38">
        <v>0</v>
      </c>
      <c r="M22" s="38">
        <v>0</v>
      </c>
      <c r="N22" s="38"/>
      <c r="O22" s="38" t="e">
        <f>#REF!+#REF!</f>
        <v>#REF!</v>
      </c>
      <c r="P22" s="38"/>
      <c r="Q22" s="35"/>
      <c r="R22" s="37"/>
      <c r="S22" s="37"/>
      <c r="T22" s="37"/>
      <c r="U22" s="37"/>
      <c r="V22" s="37"/>
      <c r="W22" s="37"/>
      <c r="X22" s="37"/>
      <c r="Y22" s="37"/>
    </row>
    <row r="23" spans="1:25" ht="168" customHeight="1" x14ac:dyDescent="0.4">
      <c r="A23" s="380"/>
      <c r="B23" s="58" t="s">
        <v>127</v>
      </c>
      <c r="C23" s="59" t="s">
        <v>128</v>
      </c>
      <c r="D23" s="60">
        <v>2610</v>
      </c>
      <c r="E23" s="38">
        <v>0</v>
      </c>
      <c r="F23" s="38">
        <v>21378632.460000001</v>
      </c>
      <c r="G23" s="38" t="e">
        <f>#REF!+#REF!+#REF!+#REF!+#REF!+#REF!+#REF!+#REF!+#REF!+#REF!+#REF!+#REF!+#REF!</f>
        <v>#REF!</v>
      </c>
      <c r="H23" s="38" t="e">
        <f t="shared" si="5"/>
        <v>#REF!</v>
      </c>
      <c r="I23" s="38" t="e">
        <f>#REF!+#REF!+#REF!+#REF!+#REF!+#REF!+#REF!+#REF!+#REF!+#REF!</f>
        <v>#REF!</v>
      </c>
      <c r="J23" s="38"/>
      <c r="K23" s="38">
        <v>0</v>
      </c>
      <c r="L23" s="38">
        <v>0</v>
      </c>
      <c r="M23" s="38">
        <v>0</v>
      </c>
      <c r="N23" s="38"/>
      <c r="O23" s="38" t="e">
        <f>#REF!+#REF!+#REF!+#REF!+#REF!+#REF!+#REF!+#REF!+#REF!+#REF!</f>
        <v>#REF!</v>
      </c>
      <c r="P23" s="38"/>
      <c r="Q23" s="35"/>
      <c r="R23" s="37"/>
      <c r="S23" s="37"/>
      <c r="T23" s="37"/>
      <c r="U23" s="37"/>
      <c r="V23" s="37"/>
      <c r="W23" s="37"/>
      <c r="X23" s="37"/>
      <c r="Y23" s="37"/>
    </row>
    <row r="24" spans="1:25" ht="82.5" customHeight="1" x14ac:dyDescent="0.4">
      <c r="A24" s="61"/>
      <c r="B24" s="62" t="s">
        <v>129</v>
      </c>
      <c r="C24" s="63" t="s">
        <v>130</v>
      </c>
      <c r="D24" s="60"/>
      <c r="E24" s="38">
        <f>E25</f>
        <v>0</v>
      </c>
      <c r="F24" s="38">
        <f t="shared" ref="F24:O24" si="6">F25</f>
        <v>99000</v>
      </c>
      <c r="G24" s="38">
        <f t="shared" si="6"/>
        <v>98826.58</v>
      </c>
      <c r="H24" s="38">
        <f t="shared" si="6"/>
        <v>173.41999999999825</v>
      </c>
      <c r="I24" s="38">
        <f t="shared" si="6"/>
        <v>0</v>
      </c>
      <c r="J24" s="38"/>
      <c r="K24" s="38">
        <f t="shared" si="6"/>
        <v>0</v>
      </c>
      <c r="L24" s="38">
        <v>0</v>
      </c>
      <c r="M24" s="38">
        <v>0</v>
      </c>
      <c r="N24" s="38"/>
      <c r="O24" s="38">
        <f t="shared" si="6"/>
        <v>0</v>
      </c>
      <c r="P24" s="38"/>
      <c r="Q24" s="35"/>
      <c r="R24" s="37"/>
      <c r="S24" s="37"/>
      <c r="T24" s="37"/>
      <c r="U24" s="37"/>
      <c r="V24" s="37"/>
      <c r="W24" s="37"/>
      <c r="X24" s="37"/>
      <c r="Y24" s="37"/>
    </row>
    <row r="25" spans="1:25" ht="81.75" hidden="1" customHeight="1" x14ac:dyDescent="0.4">
      <c r="A25" s="61"/>
      <c r="B25" s="52" t="s">
        <v>131</v>
      </c>
      <c r="C25" s="51" t="s">
        <v>132</v>
      </c>
      <c r="D25" s="64">
        <v>2610</v>
      </c>
      <c r="E25" s="39"/>
      <c r="F25" s="39">
        <v>99000</v>
      </c>
      <c r="G25" s="39">
        <v>98826.58</v>
      </c>
      <c r="H25" s="39">
        <f>F25-G25</f>
        <v>173.41999999999825</v>
      </c>
      <c r="I25" s="39">
        <v>0</v>
      </c>
      <c r="J25" s="39"/>
      <c r="K25" s="39">
        <v>0</v>
      </c>
      <c r="L25" s="39"/>
      <c r="M25" s="39"/>
      <c r="N25" s="39"/>
      <c r="O25" s="39">
        <v>0</v>
      </c>
      <c r="P25" s="38"/>
      <c r="Q25" s="35"/>
      <c r="R25" s="37"/>
      <c r="S25" s="37"/>
      <c r="T25" s="37"/>
      <c r="U25" s="37"/>
      <c r="V25" s="37"/>
      <c r="W25" s="37"/>
      <c r="X25" s="37"/>
      <c r="Y25" s="37"/>
    </row>
    <row r="26" spans="1:25" ht="48" customHeight="1" x14ac:dyDescent="0.4">
      <c r="A26" s="65"/>
      <c r="B26" s="66"/>
      <c r="C26" s="67" t="s">
        <v>112</v>
      </c>
      <c r="D26" s="68"/>
      <c r="E26" s="66">
        <f>E18+E21+E22+E23+E24</f>
        <v>23650000</v>
      </c>
      <c r="F26" s="66">
        <f>F18+F21+F22+F23+F24</f>
        <v>42222340.630000003</v>
      </c>
      <c r="G26" s="66" t="e">
        <f>G18+G21+G22+G23+G24</f>
        <v>#REF!</v>
      </c>
      <c r="H26" s="66" t="e">
        <f>H18+H21+H22+H23+H24</f>
        <v>#REF!</v>
      </c>
      <c r="I26" s="66" t="e">
        <f>I18+I21+I22+I23+I24</f>
        <v>#REF!</v>
      </c>
      <c r="J26" s="66"/>
      <c r="K26" s="66">
        <f>K18+K21+K22+K23+K24</f>
        <v>20500000</v>
      </c>
      <c r="L26" s="66">
        <f>L18+L21+L22+L23+L24</f>
        <v>0</v>
      </c>
      <c r="M26" s="66">
        <f>M18+M21+M22+M23+M24</f>
        <v>0</v>
      </c>
      <c r="N26" s="66"/>
      <c r="O26" s="66" t="e">
        <f>O18+O21+O22+O23+O24</f>
        <v>#REF!</v>
      </c>
      <c r="P26" s="66"/>
      <c r="Q26" s="35"/>
      <c r="R26" s="37"/>
      <c r="S26" s="37"/>
      <c r="T26" s="37"/>
      <c r="U26" s="37"/>
      <c r="V26" s="37"/>
      <c r="W26" s="37"/>
      <c r="X26" s="37"/>
      <c r="Y26" s="37"/>
    </row>
    <row r="27" spans="1:25" ht="31.5" customHeight="1" x14ac:dyDescent="0.4">
      <c r="A27" s="372" t="s">
        <v>133</v>
      </c>
      <c r="B27" s="373"/>
      <c r="C27" s="373"/>
      <c r="D27" s="373"/>
      <c r="E27" s="373"/>
      <c r="F27" s="373"/>
      <c r="G27" s="373"/>
      <c r="H27" s="373"/>
      <c r="I27" s="373"/>
      <c r="J27" s="373"/>
      <c r="K27" s="373"/>
      <c r="L27" s="373"/>
      <c r="M27" s="373"/>
      <c r="N27" s="373"/>
      <c r="O27" s="373"/>
      <c r="P27" s="373"/>
      <c r="Q27" s="35"/>
      <c r="R27" s="37"/>
      <c r="S27" s="37"/>
      <c r="T27" s="37"/>
      <c r="U27" s="37"/>
      <c r="V27" s="37"/>
      <c r="W27" s="37"/>
      <c r="X27" s="37"/>
      <c r="Y27" s="37"/>
    </row>
    <row r="28" spans="1:25" ht="65.25" customHeight="1" x14ac:dyDescent="0.4">
      <c r="A28" s="381">
        <v>3</v>
      </c>
      <c r="B28" s="52" t="s">
        <v>134</v>
      </c>
      <c r="C28" s="51" t="s">
        <v>135</v>
      </c>
      <c r="D28" s="69">
        <v>2610</v>
      </c>
      <c r="E28" s="47">
        <v>0</v>
      </c>
      <c r="F28" s="47">
        <v>20000000</v>
      </c>
      <c r="G28" s="47">
        <v>20000000</v>
      </c>
      <c r="H28" s="47">
        <f>F28-G28</f>
        <v>0</v>
      </c>
      <c r="I28" s="47">
        <v>20000000</v>
      </c>
      <c r="J28" s="47"/>
      <c r="K28" s="47">
        <f>30000000-30000000</f>
        <v>0</v>
      </c>
      <c r="L28" s="47">
        <v>0</v>
      </c>
      <c r="M28" s="47">
        <v>0</v>
      </c>
      <c r="N28" s="47"/>
      <c r="O28" s="47">
        <v>52200000</v>
      </c>
      <c r="P28" s="70"/>
      <c r="Q28" s="35"/>
      <c r="R28" s="32"/>
      <c r="S28" s="32"/>
      <c r="T28" s="32"/>
      <c r="U28" s="32"/>
      <c r="V28" s="32"/>
      <c r="W28" s="32"/>
      <c r="X28" s="32"/>
      <c r="Y28" s="32"/>
    </row>
    <row r="29" spans="1:25" ht="62.25" customHeight="1" x14ac:dyDescent="0.4">
      <c r="A29" s="382"/>
      <c r="B29" s="52" t="s">
        <v>136</v>
      </c>
      <c r="C29" s="51" t="s">
        <v>137</v>
      </c>
      <c r="D29" s="69">
        <v>2610</v>
      </c>
      <c r="E29" s="47">
        <v>0</v>
      </c>
      <c r="F29" s="47">
        <v>0</v>
      </c>
      <c r="G29" s="47">
        <v>0</v>
      </c>
      <c r="H29" s="47">
        <f>F29-G29</f>
        <v>0</v>
      </c>
      <c r="I29" s="47">
        <v>0</v>
      </c>
      <c r="J29" s="47"/>
      <c r="K29" s="47">
        <v>0</v>
      </c>
      <c r="L29" s="47">
        <v>0</v>
      </c>
      <c r="M29" s="47">
        <v>0</v>
      </c>
      <c r="N29" s="47"/>
      <c r="O29" s="47">
        <v>10000000</v>
      </c>
      <c r="P29" s="70"/>
      <c r="Q29" s="35"/>
      <c r="R29" s="32"/>
      <c r="S29" s="32"/>
      <c r="T29" s="32"/>
      <c r="U29" s="32"/>
      <c r="V29" s="32"/>
      <c r="W29" s="32"/>
      <c r="X29" s="32"/>
      <c r="Y29" s="32"/>
    </row>
    <row r="30" spans="1:25" ht="75" customHeight="1" x14ac:dyDescent="0.4">
      <c r="A30" s="382"/>
      <c r="B30" s="52" t="s">
        <v>138</v>
      </c>
      <c r="C30" s="51" t="s">
        <v>139</v>
      </c>
      <c r="D30" s="69">
        <v>2610</v>
      </c>
      <c r="E30" s="47">
        <v>0</v>
      </c>
      <c r="F30" s="47">
        <v>3753135</v>
      </c>
      <c r="G30" s="47">
        <v>3753134.23</v>
      </c>
      <c r="H30" s="47">
        <f>F30-G30</f>
        <v>0.77000000001862645</v>
      </c>
      <c r="I30" s="47">
        <v>0</v>
      </c>
      <c r="J30" s="47"/>
      <c r="K30" s="47">
        <v>0</v>
      </c>
      <c r="L30" s="47">
        <v>0</v>
      </c>
      <c r="M30" s="47">
        <v>0</v>
      </c>
      <c r="N30" s="47"/>
      <c r="O30" s="47">
        <v>0</v>
      </c>
      <c r="P30" s="70"/>
      <c r="Q30" s="35"/>
      <c r="R30" s="32"/>
      <c r="S30" s="32"/>
      <c r="T30" s="32"/>
      <c r="U30" s="32"/>
      <c r="V30" s="32"/>
      <c r="W30" s="32"/>
      <c r="X30" s="32"/>
      <c r="Y30" s="32"/>
    </row>
    <row r="31" spans="1:25" ht="106.5" customHeight="1" x14ac:dyDescent="0.4">
      <c r="A31" s="383"/>
      <c r="B31" s="52" t="s">
        <v>140</v>
      </c>
      <c r="C31" s="51" t="s">
        <v>141</v>
      </c>
      <c r="D31" s="69"/>
      <c r="E31" s="47">
        <v>0</v>
      </c>
      <c r="F31" s="47">
        <v>0</v>
      </c>
      <c r="G31" s="47">
        <v>0</v>
      </c>
      <c r="H31" s="71">
        <v>0</v>
      </c>
      <c r="I31" s="47"/>
      <c r="J31" s="47"/>
      <c r="K31" s="47">
        <v>0</v>
      </c>
      <c r="L31" s="47">
        <v>0</v>
      </c>
      <c r="M31" s="47">
        <v>0</v>
      </c>
      <c r="N31" s="47"/>
      <c r="O31" s="47"/>
      <c r="P31" s="70"/>
      <c r="Q31" s="35"/>
      <c r="R31" s="32"/>
      <c r="S31" s="32"/>
      <c r="T31" s="32"/>
      <c r="U31" s="32"/>
      <c r="V31" s="32"/>
      <c r="W31" s="32"/>
      <c r="X31" s="32"/>
      <c r="Y31" s="32"/>
    </row>
    <row r="32" spans="1:25" ht="34.5" customHeight="1" x14ac:dyDescent="0.4">
      <c r="A32" s="72"/>
      <c r="B32" s="49"/>
      <c r="C32" s="50" t="s">
        <v>112</v>
      </c>
      <c r="D32" s="34"/>
      <c r="E32" s="31">
        <f>E28+E30+E29</f>
        <v>0</v>
      </c>
      <c r="F32" s="31">
        <f t="shared" ref="F32:O32" si="7">F28+F30+F29</f>
        <v>23753135</v>
      </c>
      <c r="G32" s="31">
        <f t="shared" si="7"/>
        <v>23753134.23</v>
      </c>
      <c r="H32" s="31">
        <f t="shared" si="7"/>
        <v>0.77000000001862645</v>
      </c>
      <c r="I32" s="31">
        <f t="shared" si="7"/>
        <v>20000000</v>
      </c>
      <c r="J32" s="31"/>
      <c r="K32" s="31">
        <f>K28+K29+K30+K31</f>
        <v>0</v>
      </c>
      <c r="L32" s="31">
        <f>L28+L29+L30+L31</f>
        <v>0</v>
      </c>
      <c r="M32" s="31">
        <f>M28+M29+M30+M31</f>
        <v>0</v>
      </c>
      <c r="N32" s="31"/>
      <c r="O32" s="31">
        <f t="shared" si="7"/>
        <v>62200000</v>
      </c>
      <c r="P32" s="31"/>
      <c r="Q32" s="35"/>
      <c r="R32" s="32"/>
      <c r="S32" s="32"/>
      <c r="T32" s="32"/>
      <c r="U32" s="32"/>
      <c r="V32" s="32"/>
      <c r="W32" s="32"/>
      <c r="X32" s="32"/>
      <c r="Y32" s="32"/>
    </row>
    <row r="33" spans="1:32" ht="42.75" customHeight="1" x14ac:dyDescent="0.4">
      <c r="A33" s="372" t="s">
        <v>142</v>
      </c>
      <c r="B33" s="373"/>
      <c r="C33" s="373"/>
      <c r="D33" s="373"/>
      <c r="E33" s="373"/>
      <c r="F33" s="373"/>
      <c r="G33" s="373"/>
      <c r="H33" s="373"/>
      <c r="I33" s="373"/>
      <c r="J33" s="373"/>
      <c r="K33" s="373"/>
      <c r="L33" s="373"/>
      <c r="M33" s="373"/>
      <c r="N33" s="373"/>
      <c r="O33" s="373"/>
      <c r="P33" s="373"/>
      <c r="Q33" s="35"/>
      <c r="R33" s="37"/>
      <c r="S33" s="37"/>
      <c r="T33" s="37"/>
      <c r="U33" s="37"/>
      <c r="V33" s="37"/>
      <c r="W33" s="37"/>
      <c r="X33" s="37"/>
      <c r="Y33" s="32"/>
    </row>
    <row r="34" spans="1:32" ht="73.5" customHeight="1" x14ac:dyDescent="0.4">
      <c r="A34" s="384" t="s">
        <v>143</v>
      </c>
      <c r="B34" s="52" t="s">
        <v>144</v>
      </c>
      <c r="C34" s="73" t="s">
        <v>145</v>
      </c>
      <c r="D34" s="69">
        <v>2610</v>
      </c>
      <c r="E34" s="39">
        <v>1125000</v>
      </c>
      <c r="F34" s="39">
        <f>1125000+1199754</f>
        <v>2324754</v>
      </c>
      <c r="G34" s="39">
        <v>1124754</v>
      </c>
      <c r="H34" s="39">
        <f>F34-G34</f>
        <v>1200000</v>
      </c>
      <c r="I34" s="39">
        <v>1251000</v>
      </c>
      <c r="J34" s="74" t="s">
        <v>146</v>
      </c>
      <c r="K34" s="39">
        <v>1250000</v>
      </c>
      <c r="L34" s="39">
        <f>K34*1.124</f>
        <v>1405000.0000000002</v>
      </c>
      <c r="M34" s="39">
        <f>L34*1.078</f>
        <v>1514590.0000000002</v>
      </c>
      <c r="N34" s="75"/>
      <c r="O34" s="39">
        <v>1251000</v>
      </c>
      <c r="P34" s="74" t="s">
        <v>147</v>
      </c>
      <c r="Q34" s="35"/>
      <c r="R34" s="32"/>
      <c r="S34" s="32"/>
      <c r="T34" s="32"/>
      <c r="U34" s="32"/>
      <c r="V34" s="32"/>
      <c r="W34" s="32"/>
      <c r="X34" s="32"/>
      <c r="Y34" s="32"/>
    </row>
    <row r="35" spans="1:32" ht="109.5" customHeight="1" x14ac:dyDescent="0.4">
      <c r="A35" s="385"/>
      <c r="B35" s="52" t="s">
        <v>148</v>
      </c>
      <c r="C35" s="73" t="s">
        <v>149</v>
      </c>
      <c r="D35" s="69">
        <v>2610</v>
      </c>
      <c r="E35" s="39">
        <v>559806</v>
      </c>
      <c r="F35" s="39">
        <f>559806-27486</f>
        <v>532320</v>
      </c>
      <c r="G35" s="39">
        <v>532320</v>
      </c>
      <c r="H35" s="39">
        <f>F35-G35</f>
        <v>0</v>
      </c>
      <c r="I35" s="39">
        <v>622505</v>
      </c>
      <c r="J35" s="74" t="s">
        <v>150</v>
      </c>
      <c r="K35" s="39">
        <v>622000</v>
      </c>
      <c r="L35" s="39">
        <f>K35*1.124</f>
        <v>699128.00000000012</v>
      </c>
      <c r="M35" s="39">
        <v>753660</v>
      </c>
      <c r="N35" s="75"/>
      <c r="O35" s="39">
        <v>622505</v>
      </c>
      <c r="P35" s="74" t="s">
        <v>151</v>
      </c>
      <c r="Q35" s="35"/>
    </row>
    <row r="36" spans="1:32" ht="94.5" customHeight="1" x14ac:dyDescent="0.4">
      <c r="A36" s="385"/>
      <c r="B36" s="52" t="s">
        <v>152</v>
      </c>
      <c r="C36" s="73" t="s">
        <v>153</v>
      </c>
      <c r="D36" s="69">
        <v>2610</v>
      </c>
      <c r="E36" s="39">
        <v>0</v>
      </c>
      <c r="F36" s="39">
        <f>20000000+7000000</f>
        <v>27000000</v>
      </c>
      <c r="G36" s="39">
        <v>20000000</v>
      </c>
      <c r="H36" s="39">
        <f>F36-G36</f>
        <v>7000000</v>
      </c>
      <c r="I36" s="39">
        <v>6000000</v>
      </c>
      <c r="J36" s="39"/>
      <c r="K36" s="39">
        <v>0</v>
      </c>
      <c r="L36" s="39">
        <f>30000000-30000000</f>
        <v>0</v>
      </c>
      <c r="M36" s="39">
        <f>30000000-30000000</f>
        <v>0</v>
      </c>
      <c r="N36" s="39"/>
      <c r="O36" s="39">
        <v>20000000</v>
      </c>
      <c r="P36" s="54"/>
      <c r="Q36" s="35"/>
    </row>
    <row r="37" spans="1:32" ht="94.5" customHeight="1" x14ac:dyDescent="0.4">
      <c r="A37" s="386"/>
      <c r="B37" s="52" t="s">
        <v>154</v>
      </c>
      <c r="C37" s="73" t="s">
        <v>155</v>
      </c>
      <c r="D37" s="69">
        <v>2610</v>
      </c>
      <c r="E37" s="39">
        <v>0</v>
      </c>
      <c r="F37" s="39">
        <v>1719051</v>
      </c>
      <c r="G37" s="39">
        <v>0</v>
      </c>
      <c r="H37" s="39">
        <f>F37-G37</f>
        <v>1719051</v>
      </c>
      <c r="I37" s="39"/>
      <c r="J37" s="39"/>
      <c r="K37" s="39">
        <v>0</v>
      </c>
      <c r="L37" s="39">
        <v>0</v>
      </c>
      <c r="M37" s="39">
        <v>0</v>
      </c>
      <c r="N37" s="39"/>
      <c r="O37" s="39"/>
      <c r="P37" s="54"/>
      <c r="Q37" s="35"/>
      <c r="R37" s="32"/>
      <c r="S37" s="32"/>
      <c r="T37" s="32"/>
      <c r="U37" s="32"/>
      <c r="V37" s="32"/>
      <c r="W37" s="32"/>
      <c r="X37" s="32"/>
      <c r="Y37" s="32"/>
      <c r="Z37" s="32"/>
      <c r="AA37" s="32"/>
      <c r="AB37" s="32"/>
      <c r="AC37" s="32"/>
      <c r="AD37" s="32"/>
      <c r="AE37" s="32"/>
      <c r="AF37" s="32"/>
    </row>
    <row r="38" spans="1:32" ht="43.5" customHeight="1" x14ac:dyDescent="0.4">
      <c r="A38" s="49"/>
      <c r="B38" s="49"/>
      <c r="C38" s="50" t="s">
        <v>156</v>
      </c>
      <c r="D38" s="34"/>
      <c r="E38" s="49">
        <f>E34+E35+E36+E37</f>
        <v>1684806</v>
      </c>
      <c r="F38" s="49">
        <f>F34+F35+F36+F37</f>
        <v>31576125</v>
      </c>
      <c r="G38" s="49">
        <f>G34+G35+G36+G37</f>
        <v>21657074</v>
      </c>
      <c r="H38" s="49">
        <f>H34+H35+H36+H37</f>
        <v>9919051</v>
      </c>
      <c r="I38" s="49">
        <f t="shared" ref="I38:O38" si="8">I34+I35+I36</f>
        <v>7873505</v>
      </c>
      <c r="J38" s="49"/>
      <c r="K38" s="49">
        <f t="shared" si="8"/>
        <v>1872000</v>
      </c>
      <c r="L38" s="49">
        <f t="shared" si="8"/>
        <v>2104128.0000000005</v>
      </c>
      <c r="M38" s="49">
        <f t="shared" si="8"/>
        <v>2268250</v>
      </c>
      <c r="N38" s="49"/>
      <c r="O38" s="49">
        <f t="shared" si="8"/>
        <v>21873505</v>
      </c>
      <c r="P38" s="49"/>
      <c r="Q38" s="35"/>
      <c r="R38" s="32"/>
      <c r="S38" s="32"/>
      <c r="T38" s="32"/>
      <c r="U38" s="32"/>
      <c r="V38" s="32"/>
      <c r="W38" s="32"/>
      <c r="X38" s="32"/>
      <c r="Y38" s="32"/>
      <c r="Z38" s="32"/>
      <c r="AA38" s="32"/>
      <c r="AB38" s="32"/>
      <c r="AC38" s="32"/>
      <c r="AD38" s="32"/>
      <c r="AE38" s="32"/>
      <c r="AF38" s="32"/>
    </row>
    <row r="39" spans="1:32" ht="41.25" customHeight="1" x14ac:dyDescent="0.4">
      <c r="A39" s="372" t="s">
        <v>157</v>
      </c>
      <c r="B39" s="373"/>
      <c r="C39" s="373"/>
      <c r="D39" s="373"/>
      <c r="E39" s="373"/>
      <c r="F39" s="373"/>
      <c r="G39" s="373"/>
      <c r="H39" s="373"/>
      <c r="I39" s="373"/>
      <c r="J39" s="373"/>
      <c r="K39" s="373"/>
      <c r="L39" s="373"/>
      <c r="M39" s="373"/>
      <c r="N39" s="373"/>
      <c r="O39" s="373"/>
      <c r="P39" s="373"/>
      <c r="Q39" s="35"/>
      <c r="R39" s="37"/>
      <c r="S39" s="37"/>
      <c r="T39" s="37"/>
      <c r="U39" s="37"/>
      <c r="V39" s="37"/>
      <c r="W39" s="37"/>
      <c r="X39" s="37"/>
      <c r="Y39" s="32"/>
      <c r="Z39" s="32"/>
      <c r="AA39" s="32"/>
      <c r="AB39" s="32"/>
      <c r="AC39" s="32"/>
      <c r="AD39" s="32"/>
      <c r="AE39" s="32"/>
      <c r="AF39" s="32"/>
    </row>
    <row r="40" spans="1:32" ht="87" customHeight="1" x14ac:dyDescent="0.4">
      <c r="A40" s="387">
        <v>5</v>
      </c>
      <c r="B40" s="76" t="s">
        <v>158</v>
      </c>
      <c r="C40" s="77" t="s">
        <v>159</v>
      </c>
      <c r="D40" s="78"/>
      <c r="E40" s="79">
        <f>E41+E42+E43+E44+E45+E46+E47</f>
        <v>137260000</v>
      </c>
      <c r="F40" s="79">
        <f>F41+F42+F43+F44+F45+F46+F47</f>
        <v>135591697.59999999</v>
      </c>
      <c r="G40" s="79">
        <f>G41+G42+G43+G44+G45+G46+G47</f>
        <v>76828350.400000006</v>
      </c>
      <c r="H40" s="79">
        <f>H41+H42+H43+H44+H45+H46+H47</f>
        <v>58763347.200000003</v>
      </c>
      <c r="I40" s="79">
        <f>I41+I42+I43+I44+I45+I46+I47</f>
        <v>136958800</v>
      </c>
      <c r="J40" s="79"/>
      <c r="K40" s="79">
        <f>K41+K42+K43+K44+K45+K46+K47</f>
        <v>163545800</v>
      </c>
      <c r="L40" s="79">
        <f>L41+L42+L43+L44+L45+L46+L47</f>
        <v>183825479.00000003</v>
      </c>
      <c r="M40" s="79">
        <f>M41+M42+M43+M44+M45+M46+M47</f>
        <v>198163867</v>
      </c>
      <c r="N40" s="79"/>
      <c r="O40" s="79">
        <f>O41+O42+O43+O44+O45+O46+O47</f>
        <v>203192386</v>
      </c>
      <c r="P40" s="79"/>
      <c r="Q40" s="35"/>
      <c r="R40" s="32"/>
      <c r="S40" s="32"/>
      <c r="T40" s="32"/>
      <c r="U40" s="32"/>
      <c r="V40" s="32"/>
      <c r="W40" s="32"/>
      <c r="X40" s="32"/>
      <c r="Y40" s="32"/>
      <c r="Z40" s="32"/>
      <c r="AA40" s="32"/>
      <c r="AB40" s="32"/>
      <c r="AC40" s="32"/>
      <c r="AD40" s="32"/>
      <c r="AE40" s="32"/>
      <c r="AF40" s="32"/>
    </row>
    <row r="41" spans="1:32" ht="71.25" customHeight="1" x14ac:dyDescent="0.4">
      <c r="A41" s="388"/>
      <c r="B41" s="80" t="s">
        <v>160</v>
      </c>
      <c r="C41" s="81" t="s">
        <v>161</v>
      </c>
      <c r="D41" s="82">
        <v>2273</v>
      </c>
      <c r="E41" s="83">
        <v>63800000</v>
      </c>
      <c r="F41" s="83">
        <v>63800000</v>
      </c>
      <c r="G41" s="84">
        <f>8222380.62+4518630.4+4241397.38+3246570.99-5192.55+4420522.8+3217520.21</f>
        <v>27861829.850000001</v>
      </c>
      <c r="H41" s="85">
        <f>F41-G41</f>
        <v>35938170.149999999</v>
      </c>
      <c r="I41" s="85">
        <v>63800000</v>
      </c>
      <c r="J41" s="86" t="s">
        <v>162</v>
      </c>
      <c r="K41" s="85">
        <v>87140000</v>
      </c>
      <c r="L41" s="85">
        <f>K41*1.124</f>
        <v>97945360.000000015</v>
      </c>
      <c r="M41" s="85">
        <v>105585098</v>
      </c>
      <c r="N41" s="87"/>
      <c r="O41" s="83">
        <v>115348586</v>
      </c>
      <c r="P41" s="88" t="s">
        <v>163</v>
      </c>
      <c r="Q41" s="35"/>
      <c r="R41" s="32"/>
      <c r="S41" s="32"/>
      <c r="T41" s="32"/>
      <c r="U41" s="32"/>
      <c r="V41" s="32"/>
      <c r="W41" s="32"/>
      <c r="X41" s="32"/>
      <c r="Y41" s="32"/>
      <c r="Z41" s="32"/>
      <c r="AA41" s="32"/>
      <c r="AB41" s="32"/>
      <c r="AC41" s="32"/>
      <c r="AD41" s="32"/>
      <c r="AE41" s="32"/>
      <c r="AF41" s="32"/>
    </row>
    <row r="42" spans="1:32" ht="88.5" customHeight="1" x14ac:dyDescent="0.4">
      <c r="A42" s="388"/>
      <c r="B42" s="80" t="s">
        <v>164</v>
      </c>
      <c r="C42" s="89" t="s">
        <v>165</v>
      </c>
      <c r="D42" s="82">
        <v>2240</v>
      </c>
      <c r="E42" s="83">
        <v>53100000</v>
      </c>
      <c r="F42" s="83">
        <v>52900000</v>
      </c>
      <c r="G42" s="84">
        <v>36426958.799999997</v>
      </c>
      <c r="H42" s="85">
        <f t="shared" ref="H42:H70" si="9">F42-G42</f>
        <v>16473041.200000003</v>
      </c>
      <c r="I42" s="85">
        <v>52900000</v>
      </c>
      <c r="J42" s="86" t="s">
        <v>166</v>
      </c>
      <c r="K42" s="85">
        <f>58771900-3771900</f>
        <v>55000000</v>
      </c>
      <c r="L42" s="85">
        <f>K42*1.124</f>
        <v>61820000.000000007</v>
      </c>
      <c r="M42" s="85">
        <f>L42*1.078</f>
        <v>66641960.000000015</v>
      </c>
      <c r="N42" s="75"/>
      <c r="O42" s="83">
        <v>63480000</v>
      </c>
      <c r="P42" s="88" t="s">
        <v>167</v>
      </c>
      <c r="Q42" s="35">
        <f>F42*1.112</f>
        <v>58824800.000000007</v>
      </c>
      <c r="R42" s="16">
        <f>F42*1.111</f>
        <v>58771900</v>
      </c>
    </row>
    <row r="43" spans="1:32" ht="72.75" customHeight="1" x14ac:dyDescent="0.4">
      <c r="A43" s="388"/>
      <c r="B43" s="80" t="s">
        <v>168</v>
      </c>
      <c r="C43" s="89" t="s">
        <v>169</v>
      </c>
      <c r="D43" s="90">
        <v>2240</v>
      </c>
      <c r="E43" s="83">
        <v>20000000</v>
      </c>
      <c r="F43" s="83">
        <f>20000000-1363738.4</f>
        <v>18636261.600000001</v>
      </c>
      <c r="G43" s="84">
        <v>12432351.6</v>
      </c>
      <c r="H43" s="85">
        <f t="shared" si="9"/>
        <v>6203910.0000000019</v>
      </c>
      <c r="I43" s="85">
        <v>20000000</v>
      </c>
      <c r="J43" s="86" t="s">
        <v>170</v>
      </c>
      <c r="K43" s="85">
        <f>22220000-1220000</f>
        <v>21000000</v>
      </c>
      <c r="L43" s="85">
        <f>K43*1.124</f>
        <v>23604000.000000004</v>
      </c>
      <c r="M43" s="85">
        <f>L43*1.078</f>
        <v>25445112.000000007</v>
      </c>
      <c r="N43" s="75"/>
      <c r="O43" s="83">
        <f>24000000</f>
        <v>24000000</v>
      </c>
      <c r="P43" s="88" t="s">
        <v>171</v>
      </c>
      <c r="Q43" s="35"/>
    </row>
    <row r="44" spans="1:32" ht="76.5" customHeight="1" x14ac:dyDescent="0.4">
      <c r="A44" s="388"/>
      <c r="B44" s="80" t="s">
        <v>172</v>
      </c>
      <c r="C44" s="89" t="s">
        <v>173</v>
      </c>
      <c r="D44" s="82">
        <v>2240</v>
      </c>
      <c r="E44" s="83">
        <v>30000</v>
      </c>
      <c r="F44" s="83">
        <v>0</v>
      </c>
      <c r="G44" s="84">
        <v>0</v>
      </c>
      <c r="H44" s="85">
        <f t="shared" si="9"/>
        <v>0</v>
      </c>
      <c r="I44" s="85">
        <v>0</v>
      </c>
      <c r="J44" s="85"/>
      <c r="K44" s="85">
        <v>0</v>
      </c>
      <c r="L44" s="85">
        <f t="shared" ref="L44:L50" si="10">K44*1.124</f>
        <v>0</v>
      </c>
      <c r="M44" s="85">
        <f>L44*1.078</f>
        <v>0</v>
      </c>
      <c r="N44" s="83"/>
      <c r="O44" s="83">
        <v>0</v>
      </c>
      <c r="P44" s="83"/>
      <c r="Q44" s="35"/>
    </row>
    <row r="45" spans="1:32" ht="86.25" customHeight="1" x14ac:dyDescent="0.4">
      <c r="A45" s="388"/>
      <c r="B45" s="80" t="s">
        <v>174</v>
      </c>
      <c r="C45" s="89" t="s">
        <v>175</v>
      </c>
      <c r="D45" s="82">
        <v>2240</v>
      </c>
      <c r="E45" s="83">
        <v>140000</v>
      </c>
      <c r="F45" s="83">
        <v>68000</v>
      </c>
      <c r="G45" s="85">
        <v>14774.15</v>
      </c>
      <c r="H45" s="85">
        <f t="shared" si="9"/>
        <v>53225.85</v>
      </c>
      <c r="I45" s="85">
        <v>68800</v>
      </c>
      <c r="J45" s="91">
        <v>34</v>
      </c>
      <c r="K45" s="85">
        <v>68800</v>
      </c>
      <c r="L45" s="85">
        <v>77331</v>
      </c>
      <c r="M45" s="85">
        <f>83363</f>
        <v>83363</v>
      </c>
      <c r="N45" s="75"/>
      <c r="O45" s="83">
        <v>68800</v>
      </c>
      <c r="P45" s="92">
        <v>34</v>
      </c>
      <c r="Q45" s="35"/>
    </row>
    <row r="46" spans="1:32" ht="108" customHeight="1" x14ac:dyDescent="0.4">
      <c r="A46" s="388"/>
      <c r="B46" s="80" t="s">
        <v>176</v>
      </c>
      <c r="C46" s="89" t="s">
        <v>177</v>
      </c>
      <c r="D46" s="82">
        <v>2240</v>
      </c>
      <c r="E46" s="83">
        <v>95000</v>
      </c>
      <c r="F46" s="83">
        <v>95000</v>
      </c>
      <c r="G46" s="83">
        <v>0</v>
      </c>
      <c r="H46" s="83">
        <f t="shared" si="9"/>
        <v>95000</v>
      </c>
      <c r="I46" s="83">
        <v>95000</v>
      </c>
      <c r="J46" s="92">
        <v>6300</v>
      </c>
      <c r="K46" s="85">
        <v>95000</v>
      </c>
      <c r="L46" s="85">
        <f t="shared" si="10"/>
        <v>106780.00000000001</v>
      </c>
      <c r="M46" s="85">
        <v>115109</v>
      </c>
      <c r="N46" s="75"/>
      <c r="O46" s="83">
        <v>95000</v>
      </c>
      <c r="P46" s="92">
        <v>6300</v>
      </c>
      <c r="Q46" s="35"/>
    </row>
    <row r="47" spans="1:32" ht="104.25" customHeight="1" x14ac:dyDescent="0.4">
      <c r="A47" s="388"/>
      <c r="B47" s="80" t="s">
        <v>178</v>
      </c>
      <c r="C47" s="89" t="s">
        <v>179</v>
      </c>
      <c r="D47" s="82">
        <v>2210</v>
      </c>
      <c r="E47" s="83">
        <v>95000</v>
      </c>
      <c r="F47" s="83">
        <f>95000-2564</f>
        <v>92436</v>
      </c>
      <c r="G47" s="83">
        <v>92436</v>
      </c>
      <c r="H47" s="85">
        <f t="shared" si="9"/>
        <v>0</v>
      </c>
      <c r="I47" s="85">
        <v>95000</v>
      </c>
      <c r="J47" s="91">
        <v>22</v>
      </c>
      <c r="K47" s="85">
        <f>95000*1.111+136455</f>
        <v>242000</v>
      </c>
      <c r="L47" s="85">
        <f t="shared" si="10"/>
        <v>272008</v>
      </c>
      <c r="M47" s="85">
        <v>293225</v>
      </c>
      <c r="N47" s="75"/>
      <c r="O47" s="83">
        <v>200000</v>
      </c>
      <c r="P47" s="92">
        <v>45</v>
      </c>
      <c r="Q47" s="35"/>
    </row>
    <row r="48" spans="1:32" ht="81" customHeight="1" x14ac:dyDescent="0.4">
      <c r="A48" s="388"/>
      <c r="B48" s="93" t="s">
        <v>180</v>
      </c>
      <c r="C48" s="94" t="s">
        <v>181</v>
      </c>
      <c r="D48" s="82">
        <v>2272</v>
      </c>
      <c r="E48" s="12">
        <v>215418</v>
      </c>
      <c r="F48" s="12">
        <v>215418</v>
      </c>
      <c r="G48" s="12">
        <f>25555.2+22935.79+46181.34</f>
        <v>94672.33</v>
      </c>
      <c r="H48" s="12">
        <f t="shared" si="9"/>
        <v>120745.67</v>
      </c>
      <c r="I48" s="12">
        <v>215408</v>
      </c>
      <c r="J48" s="88" t="s">
        <v>182</v>
      </c>
      <c r="K48" s="79">
        <v>396848</v>
      </c>
      <c r="L48" s="85">
        <v>446057</v>
      </c>
      <c r="M48" s="85">
        <v>480850</v>
      </c>
      <c r="N48" s="75"/>
      <c r="O48" s="12">
        <v>396848</v>
      </c>
      <c r="P48" s="88" t="s">
        <v>183</v>
      </c>
      <c r="Q48" s="35"/>
    </row>
    <row r="49" spans="1:17" ht="110.25" customHeight="1" x14ac:dyDescent="0.4">
      <c r="A49" s="388"/>
      <c r="B49" s="93" t="s">
        <v>184</v>
      </c>
      <c r="C49" s="94" t="s">
        <v>185</v>
      </c>
      <c r="D49" s="82">
        <v>2273</v>
      </c>
      <c r="E49" s="12">
        <v>289000</v>
      </c>
      <c r="F49" s="12">
        <v>289000</v>
      </c>
      <c r="G49" s="12">
        <v>0</v>
      </c>
      <c r="H49" s="12">
        <f t="shared" si="9"/>
        <v>289000</v>
      </c>
      <c r="I49" s="12">
        <v>0</v>
      </c>
      <c r="J49" s="12"/>
      <c r="K49" s="79">
        <f>102670</f>
        <v>102670</v>
      </c>
      <c r="L49" s="85">
        <v>115401</v>
      </c>
      <c r="M49" s="85">
        <v>124402</v>
      </c>
      <c r="N49" s="75"/>
      <c r="O49" s="12">
        <v>0</v>
      </c>
      <c r="P49" s="83"/>
      <c r="Q49" s="35"/>
    </row>
    <row r="50" spans="1:17" ht="90" customHeight="1" x14ac:dyDescent="0.4">
      <c r="A50" s="388"/>
      <c r="B50" s="93" t="s">
        <v>186</v>
      </c>
      <c r="C50" s="94" t="s">
        <v>187</v>
      </c>
      <c r="D50" s="82">
        <v>2240</v>
      </c>
      <c r="E50" s="12">
        <v>1075396</v>
      </c>
      <c r="F50" s="12">
        <v>650157.13</v>
      </c>
      <c r="G50" s="12">
        <v>0</v>
      </c>
      <c r="H50" s="12">
        <f t="shared" si="9"/>
        <v>650157.13</v>
      </c>
      <c r="I50" s="12">
        <v>1000000</v>
      </c>
      <c r="J50" s="12"/>
      <c r="K50" s="79">
        <v>100000</v>
      </c>
      <c r="L50" s="85">
        <f t="shared" si="10"/>
        <v>112400.00000000001</v>
      </c>
      <c r="M50" s="85">
        <v>121167</v>
      </c>
      <c r="N50" s="75"/>
      <c r="O50" s="12">
        <v>1000000</v>
      </c>
      <c r="P50" s="88" t="s">
        <v>188</v>
      </c>
      <c r="Q50" s="35"/>
    </row>
    <row r="51" spans="1:17" ht="92.25" customHeight="1" x14ac:dyDescent="0.4">
      <c r="A51" s="388"/>
      <c r="B51" s="93" t="s">
        <v>189</v>
      </c>
      <c r="C51" s="94" t="s">
        <v>190</v>
      </c>
      <c r="D51" s="82">
        <v>2240</v>
      </c>
      <c r="E51" s="12">
        <v>25000000</v>
      </c>
      <c r="F51" s="12">
        <v>24909963</v>
      </c>
      <c r="G51" s="12">
        <v>14857009.58</v>
      </c>
      <c r="H51" s="79">
        <f t="shared" si="9"/>
        <v>10052953.42</v>
      </c>
      <c r="I51" s="79">
        <v>24632429</v>
      </c>
      <c r="J51" s="86" t="s">
        <v>191</v>
      </c>
      <c r="K51" s="79">
        <f>26346197+3192487-3192487</f>
        <v>26346197</v>
      </c>
      <c r="L51" s="79">
        <v>29613125</v>
      </c>
      <c r="M51" s="79">
        <v>31922949</v>
      </c>
      <c r="N51" s="88"/>
      <c r="O51" s="12">
        <v>26346197</v>
      </c>
      <c r="P51" s="88" t="s">
        <v>192</v>
      </c>
      <c r="Q51" s="35"/>
    </row>
    <row r="52" spans="1:17" ht="74.25" customHeight="1" x14ac:dyDescent="0.4">
      <c r="A52" s="388"/>
      <c r="B52" s="93" t="s">
        <v>193</v>
      </c>
      <c r="C52" s="94" t="s">
        <v>194</v>
      </c>
      <c r="D52" s="82">
        <v>2240</v>
      </c>
      <c r="E52" s="12">
        <v>38568688</v>
      </c>
      <c r="F52" s="12">
        <f>38568688+2500000</f>
        <v>41068688</v>
      </c>
      <c r="G52" s="79">
        <v>28475610.079999998</v>
      </c>
      <c r="H52" s="79">
        <f t="shared" si="9"/>
        <v>12593077.920000002</v>
      </c>
      <c r="I52" s="79">
        <v>38568688</v>
      </c>
      <c r="J52" s="95" t="s">
        <v>195</v>
      </c>
      <c r="K52" s="79">
        <v>41000000</v>
      </c>
      <c r="L52" s="79">
        <f>K52*1.124</f>
        <v>46084000.000000007</v>
      </c>
      <c r="M52" s="79">
        <f>L52*1.078</f>
        <v>49678552.000000015</v>
      </c>
      <c r="N52" s="96"/>
      <c r="O52" s="12">
        <f>F52*1.112+0.94</f>
        <v>45668381.995999999</v>
      </c>
      <c r="P52" s="97" t="s">
        <v>196</v>
      </c>
      <c r="Q52" s="35"/>
    </row>
    <row r="53" spans="1:17" ht="68.25" customHeight="1" x14ac:dyDescent="0.4">
      <c r="A53" s="388"/>
      <c r="B53" s="93" t="s">
        <v>197</v>
      </c>
      <c r="C53" s="94" t="s">
        <v>198</v>
      </c>
      <c r="D53" s="82">
        <v>2240</v>
      </c>
      <c r="E53" s="12">
        <v>15019428</v>
      </c>
      <c r="F53" s="12">
        <v>14837910</v>
      </c>
      <c r="G53" s="12">
        <v>9125850</v>
      </c>
      <c r="H53" s="12">
        <f t="shared" si="9"/>
        <v>5712060</v>
      </c>
      <c r="I53" s="12">
        <v>14833800</v>
      </c>
      <c r="J53" s="88" t="s">
        <v>199</v>
      </c>
      <c r="K53" s="79">
        <v>16601604</v>
      </c>
      <c r="L53" s="79">
        <v>18660203</v>
      </c>
      <c r="M53" s="79">
        <v>20115699</v>
      </c>
      <c r="N53" s="88"/>
      <c r="O53" s="12">
        <v>16601604</v>
      </c>
      <c r="P53" s="97" t="s">
        <v>200</v>
      </c>
      <c r="Q53" s="35"/>
    </row>
    <row r="54" spans="1:17" ht="101.25" customHeight="1" x14ac:dyDescent="0.4">
      <c r="A54" s="388"/>
      <c r="B54" s="93" t="s">
        <v>201</v>
      </c>
      <c r="C54" s="94" t="s">
        <v>202</v>
      </c>
      <c r="D54" s="98">
        <v>2240</v>
      </c>
      <c r="E54" s="12">
        <v>1631000</v>
      </c>
      <c r="F54" s="12">
        <v>1631000</v>
      </c>
      <c r="G54" s="12">
        <v>1553448</v>
      </c>
      <c r="H54" s="12">
        <f t="shared" si="9"/>
        <v>77552</v>
      </c>
      <c r="I54" s="12">
        <v>1631000</v>
      </c>
      <c r="J54" s="88" t="s">
        <v>203</v>
      </c>
      <c r="K54" s="79">
        <f>1631000+869000</f>
        <v>2500000</v>
      </c>
      <c r="L54" s="79">
        <f>K54*1.124</f>
        <v>2810000.0000000005</v>
      </c>
      <c r="M54" s="79">
        <f>L54*1.078</f>
        <v>3029180.0000000005</v>
      </c>
      <c r="N54" s="83"/>
      <c r="O54" s="12">
        <f>I54*1.112</f>
        <v>1813672.0000000002</v>
      </c>
      <c r="P54" s="12" t="s">
        <v>204</v>
      </c>
      <c r="Q54" s="35"/>
    </row>
    <row r="55" spans="1:17" ht="82.5" customHeight="1" x14ac:dyDescent="0.4">
      <c r="A55" s="388"/>
      <c r="B55" s="93" t="s">
        <v>205</v>
      </c>
      <c r="C55" s="94" t="s">
        <v>206</v>
      </c>
      <c r="D55" s="82">
        <v>2273</v>
      </c>
      <c r="E55" s="12">
        <v>2326000</v>
      </c>
      <c r="F55" s="12">
        <v>2326000</v>
      </c>
      <c r="G55" s="12">
        <v>1184009.28</v>
      </c>
      <c r="H55" s="12">
        <f t="shared" si="9"/>
        <v>1141990.72</v>
      </c>
      <c r="I55" s="12">
        <v>2326000</v>
      </c>
      <c r="J55" s="12"/>
      <c r="K55" s="79">
        <v>2326000</v>
      </c>
      <c r="L55" s="79">
        <f>K55*1.124</f>
        <v>2614424.0000000005</v>
      </c>
      <c r="M55" s="79">
        <v>2818349</v>
      </c>
      <c r="N55" s="83"/>
      <c r="O55" s="79">
        <f>I55*8%+2326000</f>
        <v>2512080</v>
      </c>
      <c r="P55" s="83" t="s">
        <v>207</v>
      </c>
      <c r="Q55" s="35"/>
    </row>
    <row r="56" spans="1:17" ht="129.75" customHeight="1" x14ac:dyDescent="0.4">
      <c r="A56" s="388"/>
      <c r="B56" s="93" t="s">
        <v>208</v>
      </c>
      <c r="C56" s="94" t="s">
        <v>209</v>
      </c>
      <c r="D56" s="99">
        <v>2610</v>
      </c>
      <c r="E56" s="79">
        <v>4438171</v>
      </c>
      <c r="F56" s="79">
        <v>4438171</v>
      </c>
      <c r="G56" s="79">
        <f>G57+G58+G60</f>
        <v>1695977.45</v>
      </c>
      <c r="H56" s="79">
        <f t="shared" si="9"/>
        <v>2742193.55</v>
      </c>
      <c r="I56" s="79">
        <f>I57+I58+I60</f>
        <v>4438171</v>
      </c>
      <c r="J56" s="79"/>
      <c r="K56" s="79">
        <f>K57+K58+K60</f>
        <v>2000000</v>
      </c>
      <c r="L56" s="79">
        <f>L57+L58+L60</f>
        <v>3000000</v>
      </c>
      <c r="M56" s="79">
        <f>M57+M58+M60</f>
        <v>3200000</v>
      </c>
      <c r="N56" s="100"/>
      <c r="O56" s="79">
        <f>O57+O58+O60</f>
        <v>4438171</v>
      </c>
      <c r="P56" s="83"/>
      <c r="Q56" s="35"/>
    </row>
    <row r="57" spans="1:17" ht="34.5" customHeight="1" x14ac:dyDescent="0.4">
      <c r="A57" s="388"/>
      <c r="B57" s="80"/>
      <c r="C57" s="101" t="s">
        <v>107</v>
      </c>
      <c r="D57" s="82"/>
      <c r="E57" s="83">
        <v>2417980</v>
      </c>
      <c r="F57" s="83">
        <v>2417980</v>
      </c>
      <c r="G57" s="85">
        <v>914170.86</v>
      </c>
      <c r="H57" s="85">
        <f t="shared" si="9"/>
        <v>1503809.1400000001</v>
      </c>
      <c r="I57" s="85">
        <f>2221583+196397</f>
        <v>2417980</v>
      </c>
      <c r="J57" s="85"/>
      <c r="K57" s="85">
        <v>1639345</v>
      </c>
      <c r="L57" s="85">
        <v>1639345</v>
      </c>
      <c r="M57" s="85">
        <v>1639345</v>
      </c>
      <c r="N57" s="83"/>
      <c r="O57" s="83">
        <f>2221583+196397</f>
        <v>2417980</v>
      </c>
      <c r="P57" s="83"/>
      <c r="Q57" s="35"/>
    </row>
    <row r="58" spans="1:17" ht="34.5" customHeight="1" x14ac:dyDescent="0.4">
      <c r="A58" s="388"/>
      <c r="B58" s="80"/>
      <c r="C58" s="101" t="s">
        <v>108</v>
      </c>
      <c r="D58" s="82"/>
      <c r="E58" s="83">
        <v>531956</v>
      </c>
      <c r="F58" s="83">
        <v>531956</v>
      </c>
      <c r="G58" s="85">
        <v>194827.87</v>
      </c>
      <c r="H58" s="85">
        <f t="shared" si="9"/>
        <v>337128.13</v>
      </c>
      <c r="I58" s="85">
        <v>531956</v>
      </c>
      <c r="J58" s="85"/>
      <c r="K58" s="85">
        <v>360655</v>
      </c>
      <c r="L58" s="85">
        <v>360655</v>
      </c>
      <c r="M58" s="85">
        <v>360655</v>
      </c>
      <c r="N58" s="83"/>
      <c r="O58" s="83">
        <v>531956</v>
      </c>
      <c r="P58" s="83"/>
      <c r="Q58" s="35"/>
    </row>
    <row r="59" spans="1:17" ht="34.5" hidden="1" customHeight="1" x14ac:dyDescent="0.4">
      <c r="A59" s="388"/>
      <c r="B59" s="80"/>
      <c r="C59" s="101" t="s">
        <v>210</v>
      </c>
      <c r="D59" s="82"/>
      <c r="E59" s="83"/>
      <c r="F59" s="83"/>
      <c r="G59" s="85"/>
      <c r="H59" s="85">
        <f t="shared" si="9"/>
        <v>0</v>
      </c>
      <c r="I59" s="85"/>
      <c r="J59" s="85"/>
      <c r="K59" s="85"/>
      <c r="L59" s="85"/>
      <c r="M59" s="85"/>
      <c r="N59" s="83"/>
      <c r="O59" s="83"/>
      <c r="P59" s="83"/>
      <c r="Q59" s="35"/>
    </row>
    <row r="60" spans="1:17" ht="34.5" customHeight="1" x14ac:dyDescent="0.4">
      <c r="A60" s="388"/>
      <c r="B60" s="80"/>
      <c r="C60" s="101" t="s">
        <v>211</v>
      </c>
      <c r="D60" s="82"/>
      <c r="E60" s="83">
        <v>1488235</v>
      </c>
      <c r="F60" s="83">
        <v>1488235</v>
      </c>
      <c r="G60" s="85">
        <v>586978.72</v>
      </c>
      <c r="H60" s="85">
        <f t="shared" si="9"/>
        <v>901256.28</v>
      </c>
      <c r="I60" s="85">
        <f>1263161+225074</f>
        <v>1488235</v>
      </c>
      <c r="J60" s="85"/>
      <c r="K60" s="85">
        <v>0</v>
      </c>
      <c r="L60" s="85">
        <v>1000000</v>
      </c>
      <c r="M60" s="85">
        <v>1200000</v>
      </c>
      <c r="N60" s="83"/>
      <c r="O60" s="83">
        <f>1263161+225074</f>
        <v>1488235</v>
      </c>
      <c r="P60" s="83"/>
      <c r="Q60" s="35"/>
    </row>
    <row r="61" spans="1:17" ht="78" customHeight="1" x14ac:dyDescent="0.4">
      <c r="A61" s="388"/>
      <c r="B61" s="93" t="s">
        <v>212</v>
      </c>
      <c r="C61" s="94" t="s">
        <v>213</v>
      </c>
      <c r="D61" s="99">
        <v>2610</v>
      </c>
      <c r="E61" s="79">
        <f>E62+E63+E64+E65</f>
        <v>38018184</v>
      </c>
      <c r="F61" s="79">
        <f>F62+F63+F64+F65</f>
        <v>38018184</v>
      </c>
      <c r="G61" s="79">
        <f>G62+G63+G64+G65</f>
        <v>22567981.34</v>
      </c>
      <c r="H61" s="79">
        <f t="shared" si="9"/>
        <v>15450202.66</v>
      </c>
      <c r="I61" s="79">
        <f>I62+I63+I64+I65</f>
        <v>37998184</v>
      </c>
      <c r="J61" s="390" t="s">
        <v>214</v>
      </c>
      <c r="K61" s="79">
        <f>K62+K63+K64+K65</f>
        <v>44255387</v>
      </c>
      <c r="L61" s="79">
        <f>L62+L63+L64+L65</f>
        <v>47998289</v>
      </c>
      <c r="M61" s="79">
        <f>M62+M63+M64+M65</f>
        <v>50644642</v>
      </c>
      <c r="N61" s="393"/>
      <c r="O61" s="79">
        <f>O62+O63+O64+O65</f>
        <v>47002680</v>
      </c>
      <c r="P61" s="390" t="s">
        <v>215</v>
      </c>
      <c r="Q61" s="35"/>
    </row>
    <row r="62" spans="1:17" ht="55.5" customHeight="1" x14ac:dyDescent="0.4">
      <c r="A62" s="388"/>
      <c r="B62" s="80"/>
      <c r="C62" s="101" t="s">
        <v>107</v>
      </c>
      <c r="D62" s="82"/>
      <c r="E62" s="83">
        <v>9353090</v>
      </c>
      <c r="F62" s="83">
        <v>9353090</v>
      </c>
      <c r="G62" s="85">
        <v>5378081.6200000001</v>
      </c>
      <c r="H62" s="85">
        <f t="shared" si="9"/>
        <v>3975008.38</v>
      </c>
      <c r="I62" s="85">
        <v>11090040</v>
      </c>
      <c r="J62" s="391"/>
      <c r="K62" s="85">
        <v>11533351</v>
      </c>
      <c r="L62" s="85">
        <v>11533351</v>
      </c>
      <c r="M62" s="85">
        <v>11533351</v>
      </c>
      <c r="N62" s="394"/>
      <c r="O62" s="83">
        <v>12779283</v>
      </c>
      <c r="P62" s="391"/>
      <c r="Q62" s="35"/>
    </row>
    <row r="63" spans="1:17" ht="48" customHeight="1" x14ac:dyDescent="0.4">
      <c r="A63" s="388"/>
      <c r="B63" s="80"/>
      <c r="C63" s="101" t="s">
        <v>108</v>
      </c>
      <c r="D63" s="82"/>
      <c r="E63" s="83">
        <v>2057681</v>
      </c>
      <c r="F63" s="83">
        <v>2057681</v>
      </c>
      <c r="G63" s="85">
        <v>1199366.05</v>
      </c>
      <c r="H63" s="85">
        <f t="shared" si="9"/>
        <v>858314.95</v>
      </c>
      <c r="I63" s="85">
        <v>2439810</v>
      </c>
      <c r="J63" s="391"/>
      <c r="K63" s="85">
        <v>2537339</v>
      </c>
      <c r="L63" s="85">
        <v>2537339</v>
      </c>
      <c r="M63" s="85">
        <v>2537339</v>
      </c>
      <c r="N63" s="394"/>
      <c r="O63" s="83">
        <v>2811443</v>
      </c>
      <c r="P63" s="391"/>
      <c r="Q63" s="35"/>
    </row>
    <row r="64" spans="1:17" ht="45.75" customHeight="1" x14ac:dyDescent="0.4">
      <c r="A64" s="388"/>
      <c r="B64" s="80"/>
      <c r="C64" s="101" t="s">
        <v>210</v>
      </c>
      <c r="D64" s="82"/>
      <c r="E64" s="83">
        <v>1335250</v>
      </c>
      <c r="F64" s="83">
        <v>1335250</v>
      </c>
      <c r="G64" s="85">
        <v>873391.17</v>
      </c>
      <c r="H64" s="85">
        <f t="shared" si="9"/>
        <v>461858.82999999996</v>
      </c>
      <c r="I64" s="85">
        <f>127188+744974+463088</f>
        <v>1335250</v>
      </c>
      <c r="J64" s="391"/>
      <c r="K64" s="85">
        <f>192456+1100476+463088+338715</f>
        <v>2094735</v>
      </c>
      <c r="L64" s="85">
        <v>2354482</v>
      </c>
      <c r="M64" s="85">
        <v>2538132</v>
      </c>
      <c r="N64" s="394"/>
      <c r="O64" s="83">
        <f>192456+1100476+463088</f>
        <v>1756020</v>
      </c>
      <c r="P64" s="391"/>
      <c r="Q64" s="35"/>
    </row>
    <row r="65" spans="1:17" ht="93.75" customHeight="1" x14ac:dyDescent="0.4">
      <c r="A65" s="388"/>
      <c r="B65" s="80"/>
      <c r="C65" s="101" t="s">
        <v>211</v>
      </c>
      <c r="D65" s="82"/>
      <c r="E65" s="83">
        <v>25272163</v>
      </c>
      <c r="F65" s="83">
        <v>25272163</v>
      </c>
      <c r="G65" s="85">
        <v>15117142.5</v>
      </c>
      <c r="H65" s="85">
        <f t="shared" si="9"/>
        <v>10155020.5</v>
      </c>
      <c r="I65" s="85">
        <f>4042084+19028630+14670+43700+4000</f>
        <v>23133084</v>
      </c>
      <c r="J65" s="392"/>
      <c r="K65" s="85">
        <f>29655934+523953+36240-1176640-523953-425572</f>
        <v>28089962</v>
      </c>
      <c r="L65" s="85">
        <v>31573117</v>
      </c>
      <c r="M65" s="85">
        <v>34035820</v>
      </c>
      <c r="N65" s="395"/>
      <c r="O65" s="83">
        <f>4042084+25551480+14670+43700+4000</f>
        <v>29655934</v>
      </c>
      <c r="P65" s="392"/>
      <c r="Q65" s="35"/>
    </row>
    <row r="66" spans="1:17" ht="76.5" customHeight="1" x14ac:dyDescent="0.4">
      <c r="A66" s="388"/>
      <c r="B66" s="93" t="s">
        <v>216</v>
      </c>
      <c r="C66" s="94" t="s">
        <v>217</v>
      </c>
      <c r="D66" s="99">
        <v>2610</v>
      </c>
      <c r="E66" s="79">
        <f>SUM(E67:E70)</f>
        <v>137947182</v>
      </c>
      <c r="F66" s="79">
        <f>F67+F68+F69+F70</f>
        <v>137947182</v>
      </c>
      <c r="G66" s="79">
        <f>G67+G68+G69+G70</f>
        <v>78814432.200000003</v>
      </c>
      <c r="H66" s="79">
        <f t="shared" si="9"/>
        <v>59132749.799999997</v>
      </c>
      <c r="I66" s="79">
        <f>I67+I68+I69+I70</f>
        <v>137947182</v>
      </c>
      <c r="J66" s="390" t="s">
        <v>218</v>
      </c>
      <c r="K66" s="79">
        <f>K67+K68+K69+K70</f>
        <v>139809393</v>
      </c>
      <c r="L66" s="79">
        <f>L67+L68+L69+L70</f>
        <v>145910122</v>
      </c>
      <c r="M66" s="79">
        <f>M67+M68+M69+M70</f>
        <v>150223534</v>
      </c>
      <c r="N66" s="396"/>
      <c r="O66" s="79">
        <f>O67+O68+O69+O70</f>
        <v>146981192</v>
      </c>
      <c r="P66" s="400" t="s">
        <v>219</v>
      </c>
      <c r="Q66" s="35"/>
    </row>
    <row r="67" spans="1:17" ht="67.5" customHeight="1" x14ac:dyDescent="0.4">
      <c r="A67" s="388"/>
      <c r="B67" s="80"/>
      <c r="C67" s="101" t="s">
        <v>107</v>
      </c>
      <c r="D67" s="82"/>
      <c r="E67" s="83">
        <v>66535016</v>
      </c>
      <c r="F67" s="83">
        <v>66535016</v>
      </c>
      <c r="G67" s="85">
        <v>38365124.770000003</v>
      </c>
      <c r="H67" s="85">
        <f t="shared" si="9"/>
        <v>28169891.229999997</v>
      </c>
      <c r="I67" s="85">
        <v>75408068</v>
      </c>
      <c r="J67" s="391"/>
      <c r="K67" s="85">
        <f>76646207-2375738</f>
        <v>74270469</v>
      </c>
      <c r="L67" s="85">
        <f>76646207-2375738</f>
        <v>74270469</v>
      </c>
      <c r="M67" s="85">
        <f>76646207-2375738</f>
        <v>74270469</v>
      </c>
      <c r="N67" s="397"/>
      <c r="O67" s="83">
        <f>68528383</f>
        <v>68528383</v>
      </c>
      <c r="P67" s="401"/>
      <c r="Q67" s="35"/>
    </row>
    <row r="68" spans="1:17" ht="55.5" customHeight="1" x14ac:dyDescent="0.4">
      <c r="A68" s="388"/>
      <c r="B68" s="80"/>
      <c r="C68" s="101" t="s">
        <v>108</v>
      </c>
      <c r="D68" s="82"/>
      <c r="E68" s="83">
        <v>14637704</v>
      </c>
      <c r="F68" s="83">
        <v>14637704</v>
      </c>
      <c r="G68" s="85">
        <v>8480382.7799999993</v>
      </c>
      <c r="H68" s="85">
        <f t="shared" si="9"/>
        <v>6157321.2200000007</v>
      </c>
      <c r="I68" s="85">
        <v>16589775</v>
      </c>
      <c r="J68" s="391"/>
      <c r="K68" s="85">
        <f>16862165-522662</f>
        <v>16339503</v>
      </c>
      <c r="L68" s="85">
        <f>16862165-522662</f>
        <v>16339503</v>
      </c>
      <c r="M68" s="85">
        <f>16862165-522662</f>
        <v>16339503</v>
      </c>
      <c r="N68" s="397"/>
      <c r="O68" s="83">
        <f>15076244</f>
        <v>15076244</v>
      </c>
      <c r="P68" s="401"/>
      <c r="Q68" s="35"/>
    </row>
    <row r="69" spans="1:17" ht="55.5" customHeight="1" x14ac:dyDescent="0.4">
      <c r="A69" s="388"/>
      <c r="B69" s="80"/>
      <c r="C69" s="101" t="s">
        <v>220</v>
      </c>
      <c r="D69" s="82"/>
      <c r="E69" s="83">
        <v>5086841</v>
      </c>
      <c r="F69" s="83">
        <v>5086841</v>
      </c>
      <c r="G69" s="85">
        <v>2015012.11</v>
      </c>
      <c r="H69" s="85">
        <f t="shared" si="9"/>
        <v>3071828.8899999997</v>
      </c>
      <c r="I69" s="85">
        <v>4915619</v>
      </c>
      <c r="J69" s="391"/>
      <c r="K69" s="85">
        <v>4915619</v>
      </c>
      <c r="L69" s="85">
        <v>5525156</v>
      </c>
      <c r="M69" s="85">
        <v>5956118</v>
      </c>
      <c r="N69" s="397"/>
      <c r="O69" s="83">
        <v>4245193</v>
      </c>
      <c r="P69" s="401"/>
      <c r="Q69" s="35"/>
    </row>
    <row r="70" spans="1:17" ht="58.5" customHeight="1" x14ac:dyDescent="0.4">
      <c r="A70" s="389"/>
      <c r="B70" s="102"/>
      <c r="C70" s="101" t="s">
        <v>211</v>
      </c>
      <c r="D70" s="82"/>
      <c r="E70" s="83">
        <f>51687621</f>
        <v>51687621</v>
      </c>
      <c r="F70" s="83">
        <v>51687621</v>
      </c>
      <c r="G70" s="85">
        <v>29953912.539999999</v>
      </c>
      <c r="H70" s="85">
        <f t="shared" si="9"/>
        <v>21733708.460000001</v>
      </c>
      <c r="I70" s="85">
        <v>41033720</v>
      </c>
      <c r="J70" s="392"/>
      <c r="K70" s="85">
        <f>147237352-K67-K68-K69+60920+190362+216526-547940+46620-2918400-4476047</f>
        <v>44283802</v>
      </c>
      <c r="L70" s="85">
        <v>49774994</v>
      </c>
      <c r="M70" s="85">
        <v>53657444</v>
      </c>
      <c r="N70" s="398"/>
      <c r="O70" s="83">
        <v>59131372</v>
      </c>
      <c r="P70" s="402"/>
      <c r="Q70" s="35"/>
    </row>
    <row r="71" spans="1:17" ht="81.75" customHeight="1" x14ac:dyDescent="0.4">
      <c r="A71" s="403"/>
      <c r="B71" s="103" t="s">
        <v>221</v>
      </c>
      <c r="C71" s="73" t="s">
        <v>222</v>
      </c>
      <c r="D71" s="69">
        <v>2240</v>
      </c>
      <c r="E71" s="70">
        <v>700000000</v>
      </c>
      <c r="F71" s="70">
        <v>820000000</v>
      </c>
      <c r="G71" s="70">
        <v>362626636.80000001</v>
      </c>
      <c r="H71" s="70">
        <f>F71-G71</f>
        <v>457373363.19999999</v>
      </c>
      <c r="I71" s="70">
        <v>800000000</v>
      </c>
      <c r="J71" s="104">
        <v>136600</v>
      </c>
      <c r="K71" s="105">
        <v>800000000</v>
      </c>
      <c r="L71" s="105">
        <f>800000000-53382800-773267-1000000-233096+1000000+5101</f>
        <v>745615938</v>
      </c>
      <c r="M71" s="105">
        <f>800000000-21196419-1200000-287167-250731+1000000+65731</f>
        <v>778131414</v>
      </c>
      <c r="N71" s="106"/>
      <c r="O71" s="70">
        <v>984000000</v>
      </c>
      <c r="P71" s="104">
        <v>164000</v>
      </c>
      <c r="Q71" s="35"/>
    </row>
    <row r="72" spans="1:17" ht="79.5" customHeight="1" x14ac:dyDescent="0.4">
      <c r="A72" s="404"/>
      <c r="B72" s="103" t="s">
        <v>223</v>
      </c>
      <c r="C72" s="73" t="s">
        <v>224</v>
      </c>
      <c r="D72" s="69">
        <v>2240</v>
      </c>
      <c r="E72" s="70">
        <v>250000000</v>
      </c>
      <c r="F72" s="70">
        <v>304000000</v>
      </c>
      <c r="G72" s="70">
        <v>175905308.40000001</v>
      </c>
      <c r="H72" s="70">
        <f t="shared" ref="H72:H84" si="11">F72-G72</f>
        <v>128094691.59999999</v>
      </c>
      <c r="I72" s="70">
        <v>300000000</v>
      </c>
      <c r="J72" s="104">
        <v>211</v>
      </c>
      <c r="K72" s="105">
        <v>300000000</v>
      </c>
      <c r="L72" s="105">
        <v>300000000</v>
      </c>
      <c r="M72" s="105">
        <v>300000000</v>
      </c>
      <c r="N72" s="107"/>
      <c r="O72" s="70">
        <v>300000000</v>
      </c>
      <c r="P72" s="104">
        <v>211</v>
      </c>
      <c r="Q72" s="35"/>
    </row>
    <row r="73" spans="1:17" ht="68.25" customHeight="1" x14ac:dyDescent="0.4">
      <c r="A73" s="404"/>
      <c r="B73" s="103" t="s">
        <v>225</v>
      </c>
      <c r="C73" s="108" t="s">
        <v>226</v>
      </c>
      <c r="D73" s="69">
        <v>2240</v>
      </c>
      <c r="E73" s="70">
        <v>4000000</v>
      </c>
      <c r="F73" s="70">
        <v>4000000</v>
      </c>
      <c r="G73" s="70">
        <v>2633092.7999999998</v>
      </c>
      <c r="H73" s="70">
        <f t="shared" si="11"/>
        <v>1366907.2000000002</v>
      </c>
      <c r="I73" s="70">
        <v>4000000</v>
      </c>
      <c r="J73" s="104">
        <v>135</v>
      </c>
      <c r="K73" s="105">
        <f>4448000+1500000-136455-811545</f>
        <v>5000000</v>
      </c>
      <c r="L73" s="105">
        <f t="shared" ref="L73:L79" si="12">K73*1.124</f>
        <v>5620000.0000000009</v>
      </c>
      <c r="M73" s="105">
        <f>L73*1.078</f>
        <v>6058360.0000000009</v>
      </c>
      <c r="N73" s="109"/>
      <c r="O73" s="70">
        <v>4800000</v>
      </c>
      <c r="P73" s="104">
        <v>135</v>
      </c>
      <c r="Q73" s="35"/>
    </row>
    <row r="74" spans="1:17" ht="82.5" customHeight="1" x14ac:dyDescent="0.4">
      <c r="A74" s="404"/>
      <c r="B74" s="103" t="s">
        <v>227</v>
      </c>
      <c r="C74" s="108" t="s">
        <v>228</v>
      </c>
      <c r="D74" s="69">
        <v>2240</v>
      </c>
      <c r="E74" s="70">
        <v>7000000</v>
      </c>
      <c r="F74" s="105">
        <f>7000000-297000-3788399.08</f>
        <v>2914600.92</v>
      </c>
      <c r="G74" s="70">
        <v>643351.19999999995</v>
      </c>
      <c r="H74" s="70">
        <f t="shared" si="11"/>
        <v>2271249.7199999997</v>
      </c>
      <c r="I74" s="70">
        <v>7000000</v>
      </c>
      <c r="J74" s="104">
        <v>12</v>
      </c>
      <c r="K74" s="105">
        <f>5000000-1500000-869000+811545</f>
        <v>3442545</v>
      </c>
      <c r="L74" s="105">
        <v>3869421</v>
      </c>
      <c r="M74" s="105">
        <v>4171235</v>
      </c>
      <c r="N74" s="109"/>
      <c r="O74" s="70">
        <v>7000000</v>
      </c>
      <c r="P74" s="104">
        <v>12</v>
      </c>
      <c r="Q74" s="35"/>
    </row>
    <row r="75" spans="1:17" ht="65.25" customHeight="1" x14ac:dyDescent="0.4">
      <c r="A75" s="404"/>
      <c r="B75" s="103" t="s">
        <v>229</v>
      </c>
      <c r="C75" s="108" t="s">
        <v>230</v>
      </c>
      <c r="D75" s="69">
        <v>2240</v>
      </c>
      <c r="E75" s="70">
        <v>10000000</v>
      </c>
      <c r="F75" s="105">
        <f>10000000-7100000+7100000-8207055.88</f>
        <v>1792944.12</v>
      </c>
      <c r="G75" s="70">
        <v>1277197.3400000001</v>
      </c>
      <c r="H75" s="70">
        <f t="shared" si="11"/>
        <v>515746.78</v>
      </c>
      <c r="I75" s="70">
        <v>10000000</v>
      </c>
      <c r="J75" s="104">
        <v>2</v>
      </c>
      <c r="K75" s="105">
        <v>10000000</v>
      </c>
      <c r="L75" s="105">
        <v>10000000</v>
      </c>
      <c r="M75" s="105">
        <v>10000000</v>
      </c>
      <c r="N75" s="109"/>
      <c r="O75" s="70">
        <v>15000000</v>
      </c>
      <c r="P75" s="104">
        <v>3</v>
      </c>
      <c r="Q75" s="35"/>
    </row>
    <row r="76" spans="1:17" ht="75" customHeight="1" x14ac:dyDescent="0.4">
      <c r="A76" s="404"/>
      <c r="B76" s="103" t="s">
        <v>231</v>
      </c>
      <c r="C76" s="108" t="s">
        <v>232</v>
      </c>
      <c r="D76" s="69">
        <v>2240</v>
      </c>
      <c r="E76" s="70">
        <v>0</v>
      </c>
      <c r="F76" s="105">
        <v>30000</v>
      </c>
      <c r="G76" s="70">
        <v>5289.44</v>
      </c>
      <c r="H76" s="70">
        <f t="shared" si="11"/>
        <v>24710.560000000001</v>
      </c>
      <c r="I76" s="105">
        <v>30000</v>
      </c>
      <c r="J76" s="104">
        <v>15</v>
      </c>
      <c r="K76" s="105">
        <v>30000</v>
      </c>
      <c r="L76" s="105">
        <f t="shared" si="12"/>
        <v>33720</v>
      </c>
      <c r="M76" s="105">
        <v>36350</v>
      </c>
      <c r="N76" s="104"/>
      <c r="O76" s="105">
        <v>30000</v>
      </c>
      <c r="P76" s="104">
        <v>15</v>
      </c>
      <c r="Q76" s="35"/>
    </row>
    <row r="77" spans="1:17" ht="90" customHeight="1" x14ac:dyDescent="0.4">
      <c r="A77" s="404"/>
      <c r="B77" s="103" t="s">
        <v>233</v>
      </c>
      <c r="C77" s="108" t="s">
        <v>234</v>
      </c>
      <c r="D77" s="69">
        <v>2240</v>
      </c>
      <c r="E77" s="70">
        <v>0</v>
      </c>
      <c r="F77" s="70">
        <v>30000</v>
      </c>
      <c r="G77" s="70">
        <v>0</v>
      </c>
      <c r="H77" s="70">
        <f t="shared" si="11"/>
        <v>30000</v>
      </c>
      <c r="I77" s="105">
        <v>30000</v>
      </c>
      <c r="J77" s="104">
        <v>3</v>
      </c>
      <c r="K77" s="105">
        <v>30000</v>
      </c>
      <c r="L77" s="105">
        <f t="shared" si="12"/>
        <v>33720</v>
      </c>
      <c r="M77" s="105">
        <v>36350</v>
      </c>
      <c r="N77" s="104"/>
      <c r="O77" s="105">
        <v>30000</v>
      </c>
      <c r="P77" s="104">
        <v>3</v>
      </c>
      <c r="Q77" s="35"/>
    </row>
    <row r="78" spans="1:17" ht="93.75" customHeight="1" x14ac:dyDescent="0.4">
      <c r="A78" s="404"/>
      <c r="B78" s="103" t="s">
        <v>235</v>
      </c>
      <c r="C78" s="108" t="s">
        <v>236</v>
      </c>
      <c r="D78" s="69">
        <v>2240</v>
      </c>
      <c r="E78" s="70">
        <v>0</v>
      </c>
      <c r="F78" s="70">
        <v>198000</v>
      </c>
      <c r="G78" s="70">
        <v>0</v>
      </c>
      <c r="H78" s="70">
        <f t="shared" si="11"/>
        <v>198000</v>
      </c>
      <c r="I78" s="70">
        <v>198000</v>
      </c>
      <c r="J78" s="104">
        <v>4</v>
      </c>
      <c r="K78" s="105">
        <v>198000</v>
      </c>
      <c r="L78" s="105">
        <f t="shared" si="12"/>
        <v>222552.00000000003</v>
      </c>
      <c r="M78" s="105">
        <v>239911</v>
      </c>
      <c r="N78" s="104"/>
      <c r="O78" s="70">
        <v>237600</v>
      </c>
      <c r="P78" s="104">
        <v>4</v>
      </c>
      <c r="Q78" s="35"/>
    </row>
    <row r="79" spans="1:17" ht="96" customHeight="1" x14ac:dyDescent="0.4">
      <c r="A79" s="404"/>
      <c r="B79" s="103" t="s">
        <v>237</v>
      </c>
      <c r="C79" s="108" t="s">
        <v>238</v>
      </c>
      <c r="D79" s="69">
        <v>2240</v>
      </c>
      <c r="E79" s="70">
        <v>0</v>
      </c>
      <c r="F79" s="70">
        <f>99000-78585.32</f>
        <v>20414.679999999993</v>
      </c>
      <c r="G79" s="70">
        <v>14593</v>
      </c>
      <c r="H79" s="70">
        <f t="shared" si="11"/>
        <v>5821.679999999993</v>
      </c>
      <c r="I79" s="70">
        <v>99000</v>
      </c>
      <c r="J79" s="104">
        <v>2</v>
      </c>
      <c r="K79" s="105">
        <v>99000</v>
      </c>
      <c r="L79" s="105">
        <f t="shared" si="12"/>
        <v>111276.00000000001</v>
      </c>
      <c r="M79" s="105">
        <v>119956</v>
      </c>
      <c r="N79" s="104"/>
      <c r="O79" s="70">
        <v>99000</v>
      </c>
      <c r="P79" s="104">
        <v>3</v>
      </c>
      <c r="Q79" s="35"/>
    </row>
    <row r="80" spans="1:17" ht="120.75" customHeight="1" x14ac:dyDescent="0.4">
      <c r="A80" s="404"/>
      <c r="B80" s="103" t="s">
        <v>239</v>
      </c>
      <c r="C80" s="63" t="s">
        <v>240</v>
      </c>
      <c r="D80" s="110">
        <v>2610</v>
      </c>
      <c r="E80" s="111">
        <f>SUM(E81:E83)</f>
        <v>20000000</v>
      </c>
      <c r="F80" s="111">
        <f>F81+F82+F83</f>
        <v>19464600</v>
      </c>
      <c r="G80" s="111">
        <f>G81+G82+G83</f>
        <v>9049056.5700000003</v>
      </c>
      <c r="H80" s="111">
        <f t="shared" si="11"/>
        <v>10415543.43</v>
      </c>
      <c r="I80" s="111">
        <f>I81+I82+I83</f>
        <v>20000000</v>
      </c>
      <c r="J80" s="111"/>
      <c r="K80" s="112">
        <f>K81+K82+K83</f>
        <v>18692562</v>
      </c>
      <c r="L80" s="112">
        <f>L81+L82+L83</f>
        <v>20585554</v>
      </c>
      <c r="M80" s="112">
        <f>M81+M82+M83</f>
        <v>21923960</v>
      </c>
      <c r="N80" s="113"/>
      <c r="O80" s="111">
        <f>O81+O82+O83</f>
        <v>21206010</v>
      </c>
      <c r="P80" s="113"/>
      <c r="Q80" s="35"/>
    </row>
    <row r="81" spans="1:17" ht="36.75" customHeight="1" x14ac:dyDescent="0.4">
      <c r="A81" s="404"/>
      <c r="B81" s="103" t="s">
        <v>241</v>
      </c>
      <c r="C81" s="46" t="s">
        <v>107</v>
      </c>
      <c r="D81" s="69"/>
      <c r="E81" s="70">
        <v>2656248</v>
      </c>
      <c r="F81" s="70">
        <v>2656248</v>
      </c>
      <c r="G81" s="70">
        <v>1220382.95</v>
      </c>
      <c r="H81" s="70">
        <f t="shared" si="11"/>
        <v>1435865.05</v>
      </c>
      <c r="I81" s="70">
        <v>2808609</v>
      </c>
      <c r="J81" s="70"/>
      <c r="K81" s="105">
        <v>2808609</v>
      </c>
      <c r="L81" s="105">
        <v>2808609</v>
      </c>
      <c r="M81" s="105">
        <v>2808609</v>
      </c>
      <c r="N81" s="70"/>
      <c r="O81" s="70">
        <v>2961801</v>
      </c>
      <c r="P81" s="70"/>
      <c r="Q81" s="35"/>
    </row>
    <row r="82" spans="1:17" ht="32.25" customHeight="1" x14ac:dyDescent="0.4">
      <c r="A82" s="404"/>
      <c r="B82" s="103" t="s">
        <v>242</v>
      </c>
      <c r="C82" s="46" t="s">
        <v>108</v>
      </c>
      <c r="D82" s="69"/>
      <c r="E82" s="70">
        <v>584371</v>
      </c>
      <c r="F82" s="70">
        <v>584371</v>
      </c>
      <c r="G82" s="70">
        <v>268484.3</v>
      </c>
      <c r="H82" s="70">
        <f t="shared" si="11"/>
        <v>315886.7</v>
      </c>
      <c r="I82" s="70">
        <v>617892</v>
      </c>
      <c r="J82" s="70"/>
      <c r="K82" s="105">
        <v>617892</v>
      </c>
      <c r="L82" s="105">
        <v>617892</v>
      </c>
      <c r="M82" s="105">
        <v>617892</v>
      </c>
      <c r="N82" s="70"/>
      <c r="O82" s="70">
        <v>651599</v>
      </c>
      <c r="P82" s="70"/>
      <c r="Q82" s="35"/>
    </row>
    <row r="83" spans="1:17" ht="35.25" customHeight="1" x14ac:dyDescent="0.4">
      <c r="A83" s="405"/>
      <c r="B83" s="103" t="s">
        <v>243</v>
      </c>
      <c r="C83" s="46" t="s">
        <v>211</v>
      </c>
      <c r="D83" s="69"/>
      <c r="E83" s="70">
        <v>16759381</v>
      </c>
      <c r="F83" s="70">
        <f>16759381-535400</f>
        <v>16223981</v>
      </c>
      <c r="G83" s="70">
        <v>7560189.3200000003</v>
      </c>
      <c r="H83" s="70">
        <f t="shared" si="11"/>
        <v>8663791.6799999997</v>
      </c>
      <c r="I83" s="70">
        <v>16573499</v>
      </c>
      <c r="J83" s="70"/>
      <c r="K83" s="105">
        <f>16573499-1307256-182</f>
        <v>15266061</v>
      </c>
      <c r="L83" s="105">
        <v>17159053</v>
      </c>
      <c r="M83" s="105">
        <v>18497459</v>
      </c>
      <c r="N83" s="70"/>
      <c r="O83" s="70">
        <v>17592610</v>
      </c>
      <c r="P83" s="70"/>
      <c r="Q83" s="35"/>
    </row>
    <row r="84" spans="1:17" ht="71.25" customHeight="1" x14ac:dyDescent="0.4">
      <c r="A84" s="114"/>
      <c r="B84" s="103" t="s">
        <v>244</v>
      </c>
      <c r="C84" s="115" t="s">
        <v>245</v>
      </c>
      <c r="D84" s="69">
        <v>2210</v>
      </c>
      <c r="E84" s="111">
        <v>0</v>
      </c>
      <c r="F84" s="111">
        <v>0</v>
      </c>
      <c r="G84" s="111">
        <v>0</v>
      </c>
      <c r="H84" s="111">
        <f t="shared" si="11"/>
        <v>0</v>
      </c>
      <c r="I84" s="111"/>
      <c r="J84" s="111"/>
      <c r="K84" s="112">
        <f>691313-691313+3353</f>
        <v>3353</v>
      </c>
      <c r="L84" s="112">
        <v>773267</v>
      </c>
      <c r="M84" s="112">
        <v>0</v>
      </c>
      <c r="N84" s="116"/>
      <c r="O84" s="70"/>
      <c r="P84" s="70"/>
      <c r="Q84" s="35"/>
    </row>
    <row r="85" spans="1:17" ht="37.5" customHeight="1" x14ac:dyDescent="0.4">
      <c r="A85" s="117"/>
      <c r="B85" s="28"/>
      <c r="C85" s="50" t="s">
        <v>112</v>
      </c>
      <c r="D85" s="34"/>
      <c r="E85" s="49">
        <f>E40+E48+E49+E50+E51+E52+E53+E54+E55+E61+E66+E56+E71+E72+E73+E74+E75+E76+E77+E78+E79+E80+E84</f>
        <v>1392788467</v>
      </c>
      <c r="F85" s="49">
        <f>F40+F48+F49+F50+F51+F52+F53+F54+F55+F61+F66+F56+F71+F72+F73+F74+F75+F76+F77+F78+F79+F80+F84</f>
        <v>1554373930.45</v>
      </c>
      <c r="G85" s="49">
        <f>G40+G48+G49+G50+G51+G52+G53+G54+G55+G61+G66+G56+G71+G72+G73+G74+G75+G76+G77+G78+G79+G80+G84</f>
        <v>787351866.21000016</v>
      </c>
      <c r="H85" s="49">
        <f>H40+H48+H49+H50+H51+H52+H53+H54+H55+H61+H66+H56+H71+H72+H73+H74+H75+H76+H77+H78+H79+H80+H84</f>
        <v>767022064.23999989</v>
      </c>
      <c r="I85" s="49">
        <f>I40+I48+I49+I50+I51+I52+I53+I54+I55+I61+I66+I56</f>
        <v>400549662</v>
      </c>
      <c r="J85" s="49"/>
      <c r="K85" s="49">
        <f>K40+K48+K49+K50+K51+K52+K53+K54+K55+K61+K66+K56+K71+K72+K73+K74+K75+K76+K77+K78+K79+K80+K84</f>
        <v>1576479359</v>
      </c>
      <c r="L85" s="49">
        <f>L40+L48+L49+L50+L51+L52+L53+L54+L55+L61+L66+L56+L71+L72+L73+L74+L75+L76+L77+L78+L79+L80+L84</f>
        <v>1568054948</v>
      </c>
      <c r="M85" s="49">
        <f>M40+M48+M49+M50+M51+M52+M53+M54+M55+M61+M66+M56+M71+M72+M73+M74+M75+M76+M77+M78+M79+M80+M84</f>
        <v>1631240727</v>
      </c>
      <c r="N85" s="49"/>
      <c r="O85" s="49">
        <f>O40+O48+O49+O50+O51+O52+O53+O54+O55+O61+O66+O56</f>
        <v>495953211.99599999</v>
      </c>
      <c r="P85" s="49"/>
      <c r="Q85" s="35"/>
    </row>
    <row r="86" spans="1:17" ht="33" customHeight="1" x14ac:dyDescent="0.4">
      <c r="A86" s="406" t="s">
        <v>246</v>
      </c>
      <c r="B86" s="407"/>
      <c r="C86" s="407"/>
      <c r="D86" s="407"/>
      <c r="E86" s="407"/>
      <c r="F86" s="407"/>
      <c r="G86" s="407"/>
      <c r="H86" s="407"/>
      <c r="I86" s="407"/>
      <c r="J86" s="407"/>
      <c r="K86" s="407"/>
      <c r="L86" s="407"/>
      <c r="M86" s="407"/>
      <c r="N86" s="407"/>
      <c r="O86" s="407"/>
      <c r="P86" s="407"/>
      <c r="Q86" s="35"/>
    </row>
    <row r="87" spans="1:17" ht="120.75" customHeight="1" x14ac:dyDescent="0.4">
      <c r="A87" s="384" t="s">
        <v>247</v>
      </c>
      <c r="B87" s="103" t="s">
        <v>248</v>
      </c>
      <c r="C87" s="118" t="s">
        <v>249</v>
      </c>
      <c r="D87" s="69">
        <v>2240</v>
      </c>
      <c r="E87" s="70">
        <v>26000</v>
      </c>
      <c r="F87" s="70">
        <v>26000</v>
      </c>
      <c r="G87" s="70">
        <v>0</v>
      </c>
      <c r="H87" s="70">
        <f>F87-G87</f>
        <v>26000</v>
      </c>
      <c r="I87" s="70">
        <v>5000</v>
      </c>
      <c r="J87" s="70"/>
      <c r="K87" s="70">
        <v>5000</v>
      </c>
      <c r="L87" s="70">
        <f>K87*1.124</f>
        <v>5620.0000000000009</v>
      </c>
      <c r="M87" s="70">
        <v>6058</v>
      </c>
      <c r="N87" s="113"/>
      <c r="O87" s="70">
        <v>5000</v>
      </c>
      <c r="P87" s="70"/>
      <c r="Q87" s="35"/>
    </row>
    <row r="88" spans="1:17" ht="69.75" customHeight="1" x14ac:dyDescent="0.4">
      <c r="A88" s="385"/>
      <c r="B88" s="103" t="s">
        <v>250</v>
      </c>
      <c r="C88" s="118" t="s">
        <v>251</v>
      </c>
      <c r="D88" s="69">
        <v>2240</v>
      </c>
      <c r="E88" s="70">
        <v>19300</v>
      </c>
      <c r="F88" s="70">
        <f>19300-9300</f>
        <v>10000</v>
      </c>
      <c r="G88" s="70">
        <v>904</v>
      </c>
      <c r="H88" s="70">
        <f t="shared" ref="H88:H109" si="13">F88-G88</f>
        <v>9096</v>
      </c>
      <c r="I88" s="70">
        <v>5000</v>
      </c>
      <c r="J88" s="70"/>
      <c r="K88" s="70">
        <v>5000</v>
      </c>
      <c r="L88" s="70">
        <f t="shared" ref="L88:L97" si="14">K88*1.124</f>
        <v>5620.0000000000009</v>
      </c>
      <c r="M88" s="70">
        <v>6058</v>
      </c>
      <c r="N88" s="113"/>
      <c r="O88" s="70">
        <v>5000</v>
      </c>
      <c r="P88" s="70"/>
      <c r="Q88" s="35"/>
    </row>
    <row r="89" spans="1:17" ht="117.75" customHeight="1" x14ac:dyDescent="0.4">
      <c r="A89" s="385"/>
      <c r="B89" s="103" t="s">
        <v>252</v>
      </c>
      <c r="C89" s="118" t="s">
        <v>253</v>
      </c>
      <c r="D89" s="69">
        <v>2240</v>
      </c>
      <c r="E89" s="70">
        <v>49000</v>
      </c>
      <c r="F89" s="70">
        <f>49000-49000</f>
        <v>0</v>
      </c>
      <c r="G89" s="70">
        <v>0</v>
      </c>
      <c r="H89" s="70">
        <f t="shared" si="13"/>
        <v>0</v>
      </c>
      <c r="I89" s="70">
        <v>0</v>
      </c>
      <c r="J89" s="70"/>
      <c r="K89" s="105">
        <f>I89*1.112</f>
        <v>0</v>
      </c>
      <c r="L89" s="70">
        <f t="shared" si="14"/>
        <v>0</v>
      </c>
      <c r="M89" s="70">
        <f>L89*1.078</f>
        <v>0</v>
      </c>
      <c r="N89" s="70"/>
      <c r="O89" s="70">
        <f>I89*1.112</f>
        <v>0</v>
      </c>
      <c r="P89" s="70"/>
      <c r="Q89" s="35"/>
    </row>
    <row r="90" spans="1:17" ht="78.75" customHeight="1" x14ac:dyDescent="0.4">
      <c r="A90" s="385"/>
      <c r="B90" s="103" t="s">
        <v>254</v>
      </c>
      <c r="C90" s="119" t="s">
        <v>255</v>
      </c>
      <c r="D90" s="69">
        <v>2240</v>
      </c>
      <c r="E90" s="70">
        <v>100000</v>
      </c>
      <c r="F90" s="70">
        <v>100000</v>
      </c>
      <c r="G90" s="70">
        <v>59400</v>
      </c>
      <c r="H90" s="70">
        <f t="shared" si="13"/>
        <v>40600</v>
      </c>
      <c r="I90" s="70">
        <v>100000</v>
      </c>
      <c r="J90" s="70"/>
      <c r="K90" s="105">
        <v>110000</v>
      </c>
      <c r="L90" s="70">
        <f t="shared" si="14"/>
        <v>123640.00000000001</v>
      </c>
      <c r="M90" s="70">
        <v>133284</v>
      </c>
      <c r="N90" s="113"/>
      <c r="O90" s="70">
        <f>I90*1.112</f>
        <v>111200.00000000001</v>
      </c>
      <c r="P90" s="70"/>
      <c r="Q90" s="35"/>
    </row>
    <row r="91" spans="1:17" ht="76.5" customHeight="1" x14ac:dyDescent="0.4">
      <c r="A91" s="385"/>
      <c r="B91" s="103" t="s">
        <v>256</v>
      </c>
      <c r="C91" s="118" t="s">
        <v>257</v>
      </c>
      <c r="D91" s="69">
        <v>2240</v>
      </c>
      <c r="E91" s="70">
        <v>49000</v>
      </c>
      <c r="F91" s="70">
        <v>49000</v>
      </c>
      <c r="G91" s="70">
        <v>0</v>
      </c>
      <c r="H91" s="70">
        <f t="shared" si="13"/>
        <v>49000</v>
      </c>
      <c r="I91" s="70">
        <v>49000</v>
      </c>
      <c r="J91" s="70"/>
      <c r="K91" s="105">
        <v>55000</v>
      </c>
      <c r="L91" s="70">
        <f t="shared" si="14"/>
        <v>61820.000000000007</v>
      </c>
      <c r="M91" s="70">
        <v>66642</v>
      </c>
      <c r="N91" s="113"/>
      <c r="O91" s="70">
        <f>I91*1.112</f>
        <v>54488.000000000007</v>
      </c>
      <c r="P91" s="70"/>
      <c r="Q91" s="35"/>
    </row>
    <row r="92" spans="1:17" ht="76.5" customHeight="1" x14ac:dyDescent="0.4">
      <c r="A92" s="385"/>
      <c r="B92" s="103" t="s">
        <v>258</v>
      </c>
      <c r="C92" s="119" t="s">
        <v>259</v>
      </c>
      <c r="D92" s="69">
        <v>2240</v>
      </c>
      <c r="E92" s="70">
        <v>0</v>
      </c>
      <c r="F92" s="70">
        <v>200000</v>
      </c>
      <c r="G92" s="70">
        <v>0</v>
      </c>
      <c r="H92" s="70">
        <f t="shared" si="13"/>
        <v>200000</v>
      </c>
      <c r="I92" s="70">
        <v>0</v>
      </c>
      <c r="J92" s="70"/>
      <c r="K92" s="105">
        <v>0</v>
      </c>
      <c r="L92" s="70">
        <f t="shared" si="14"/>
        <v>0</v>
      </c>
      <c r="M92" s="70">
        <f>L92*1.078</f>
        <v>0</v>
      </c>
      <c r="N92" s="70"/>
      <c r="O92" s="70">
        <v>0</v>
      </c>
      <c r="P92" s="70"/>
      <c r="Q92" s="35"/>
    </row>
    <row r="93" spans="1:17" ht="220.5" customHeight="1" x14ac:dyDescent="0.4">
      <c r="A93" s="385"/>
      <c r="B93" s="120" t="s">
        <v>260</v>
      </c>
      <c r="C93" s="121" t="s">
        <v>261</v>
      </c>
      <c r="D93" s="82">
        <v>2240</v>
      </c>
      <c r="E93" s="83">
        <v>9860000</v>
      </c>
      <c r="F93" s="83">
        <v>9813124.4000000004</v>
      </c>
      <c r="G93" s="83">
        <v>5415120</v>
      </c>
      <c r="H93" s="83">
        <f t="shared" si="13"/>
        <v>4398004.4000000004</v>
      </c>
      <c r="I93" s="83">
        <v>9770398</v>
      </c>
      <c r="J93" s="88" t="s">
        <v>262</v>
      </c>
      <c r="K93" s="85">
        <f>9770398-102670</f>
        <v>9667728</v>
      </c>
      <c r="L93" s="70">
        <v>10866526</v>
      </c>
      <c r="M93" s="70">
        <v>11714115</v>
      </c>
      <c r="N93" s="113"/>
      <c r="O93" s="83">
        <v>10864685</v>
      </c>
      <c r="P93" s="122" t="s">
        <v>263</v>
      </c>
      <c r="Q93" s="35"/>
    </row>
    <row r="94" spans="1:17" ht="72.75" customHeight="1" x14ac:dyDescent="0.4">
      <c r="A94" s="385"/>
      <c r="B94" s="123" t="s">
        <v>264</v>
      </c>
      <c r="C94" s="119" t="s">
        <v>265</v>
      </c>
      <c r="D94" s="69">
        <v>2240</v>
      </c>
      <c r="E94" s="70">
        <v>50000</v>
      </c>
      <c r="F94" s="70">
        <v>50000</v>
      </c>
      <c r="G94" s="70">
        <v>13500</v>
      </c>
      <c r="H94" s="70">
        <f t="shared" si="13"/>
        <v>36500</v>
      </c>
      <c r="I94" s="70">
        <v>50000</v>
      </c>
      <c r="J94" s="70"/>
      <c r="K94" s="105">
        <v>50000</v>
      </c>
      <c r="L94" s="70">
        <f t="shared" si="14"/>
        <v>56200.000000000007</v>
      </c>
      <c r="M94" s="70">
        <v>60584</v>
      </c>
      <c r="N94" s="70"/>
      <c r="O94" s="70">
        <v>50000</v>
      </c>
      <c r="P94" s="70"/>
      <c r="Q94" s="35"/>
    </row>
    <row r="95" spans="1:17" ht="83.25" customHeight="1" x14ac:dyDescent="0.4">
      <c r="A95" s="385"/>
      <c r="B95" s="123" t="s">
        <v>266</v>
      </c>
      <c r="C95" s="119" t="s">
        <v>267</v>
      </c>
      <c r="D95" s="110">
        <v>2800</v>
      </c>
      <c r="E95" s="70">
        <v>67738</v>
      </c>
      <c r="F95" s="70">
        <v>67738</v>
      </c>
      <c r="G95" s="105">
        <v>9128.8700000000008</v>
      </c>
      <c r="H95" s="70">
        <f t="shared" si="13"/>
        <v>58609.13</v>
      </c>
      <c r="I95" s="70">
        <v>67738</v>
      </c>
      <c r="J95" s="70"/>
      <c r="K95" s="105">
        <v>75325</v>
      </c>
      <c r="L95" s="70">
        <v>84655</v>
      </c>
      <c r="M95" s="70">
        <v>91269</v>
      </c>
      <c r="N95" s="113"/>
      <c r="O95" s="70">
        <v>75325</v>
      </c>
      <c r="P95" s="70"/>
      <c r="Q95" s="35"/>
    </row>
    <row r="96" spans="1:17" ht="67.5" customHeight="1" x14ac:dyDescent="0.4">
      <c r="A96" s="385"/>
      <c r="B96" s="103" t="s">
        <v>268</v>
      </c>
      <c r="C96" s="119" t="s">
        <v>269</v>
      </c>
      <c r="D96" s="69">
        <v>2800</v>
      </c>
      <c r="E96" s="70">
        <v>368818</v>
      </c>
      <c r="F96" s="70">
        <f>368818+513772</f>
        <v>882590</v>
      </c>
      <c r="G96" s="70">
        <f>165118.23</f>
        <v>165118.23000000001</v>
      </c>
      <c r="H96" s="70">
        <f t="shared" si="13"/>
        <v>717471.77</v>
      </c>
      <c r="I96" s="70">
        <v>1500000</v>
      </c>
      <c r="J96" s="70"/>
      <c r="K96" s="105">
        <v>1000000</v>
      </c>
      <c r="L96" s="70">
        <f>1000000-1000000</f>
        <v>0</v>
      </c>
      <c r="M96" s="70">
        <f>1000000-1000000</f>
        <v>0</v>
      </c>
      <c r="N96" s="113"/>
      <c r="O96" s="70">
        <v>1500000</v>
      </c>
      <c r="P96" s="70"/>
      <c r="Q96" s="35"/>
    </row>
    <row r="97" spans="1:17" ht="70.5" customHeight="1" x14ac:dyDescent="0.4">
      <c r="A97" s="385"/>
      <c r="B97" s="103" t="s">
        <v>270</v>
      </c>
      <c r="C97" s="119" t="s">
        <v>271</v>
      </c>
      <c r="D97" s="69">
        <v>2800</v>
      </c>
      <c r="E97" s="70">
        <v>188000</v>
      </c>
      <c r="F97" s="70">
        <v>188000</v>
      </c>
      <c r="G97" s="70">
        <v>22377.52</v>
      </c>
      <c r="H97" s="70">
        <f t="shared" si="13"/>
        <v>165622.48000000001</v>
      </c>
      <c r="I97" s="70">
        <v>84000</v>
      </c>
      <c r="J97" s="83"/>
      <c r="K97" s="105">
        <v>84000</v>
      </c>
      <c r="L97" s="70">
        <f t="shared" si="14"/>
        <v>94416.000000000015</v>
      </c>
      <c r="M97" s="70">
        <v>101780</v>
      </c>
      <c r="N97" s="113"/>
      <c r="O97" s="70">
        <v>84000</v>
      </c>
      <c r="P97" s="70"/>
      <c r="Q97" s="35"/>
    </row>
    <row r="98" spans="1:17" ht="89.25" customHeight="1" x14ac:dyDescent="0.4">
      <c r="A98" s="385"/>
      <c r="B98" s="124" t="s">
        <v>272</v>
      </c>
      <c r="C98" s="125" t="s">
        <v>273</v>
      </c>
      <c r="D98" s="126">
        <v>2610</v>
      </c>
      <c r="E98" s="111">
        <f>E99+E100+E101</f>
        <v>2950420</v>
      </c>
      <c r="F98" s="111">
        <f>F99+F100+F101</f>
        <v>2950420</v>
      </c>
      <c r="G98" s="111">
        <f>G99+G100+G101</f>
        <v>1775594.43</v>
      </c>
      <c r="H98" s="111">
        <f t="shared" si="13"/>
        <v>1174825.57</v>
      </c>
      <c r="I98" s="112">
        <f>I99+I100+I101</f>
        <v>3159780</v>
      </c>
      <c r="J98" s="408" t="s">
        <v>274</v>
      </c>
      <c r="K98" s="112">
        <f>K99+K100+K101</f>
        <v>4141944</v>
      </c>
      <c r="L98" s="112">
        <f>L99+L100+L101</f>
        <v>4182031</v>
      </c>
      <c r="M98" s="112">
        <f>M99+M100+M101</f>
        <v>4219698</v>
      </c>
      <c r="N98" s="113"/>
      <c r="O98" s="111">
        <f>O99+O100+O101</f>
        <v>3540083</v>
      </c>
      <c r="P98" s="43"/>
      <c r="Q98" s="35"/>
    </row>
    <row r="99" spans="1:17" ht="38.25" customHeight="1" x14ac:dyDescent="0.4">
      <c r="A99" s="385"/>
      <c r="B99" s="127" t="s">
        <v>275</v>
      </c>
      <c r="C99" s="46" t="s">
        <v>107</v>
      </c>
      <c r="D99" s="110"/>
      <c r="E99" s="70">
        <v>2171520</v>
      </c>
      <c r="F99" s="70">
        <v>2171520</v>
      </c>
      <c r="G99" s="105">
        <v>1357166.77</v>
      </c>
      <c r="H99" s="70">
        <f t="shared" si="13"/>
        <v>814353.23</v>
      </c>
      <c r="I99" s="105">
        <v>2589984</v>
      </c>
      <c r="J99" s="409"/>
      <c r="K99" s="105">
        <v>3021648</v>
      </c>
      <c r="L99" s="105">
        <v>3021648</v>
      </c>
      <c r="M99" s="105">
        <v>3021648</v>
      </c>
      <c r="N99" s="70"/>
      <c r="O99" s="70">
        <v>2589984</v>
      </c>
      <c r="P99" s="70"/>
      <c r="Q99" s="35"/>
    </row>
    <row r="100" spans="1:17" ht="34.5" customHeight="1" x14ac:dyDescent="0.4">
      <c r="A100" s="385"/>
      <c r="B100" s="127" t="s">
        <v>276</v>
      </c>
      <c r="C100" s="46" t="s">
        <v>108</v>
      </c>
      <c r="D100" s="69"/>
      <c r="E100" s="70">
        <v>477731</v>
      </c>
      <c r="F100" s="70">
        <v>477731</v>
      </c>
      <c r="G100" s="70">
        <v>278150.21999999997</v>
      </c>
      <c r="H100" s="70">
        <f t="shared" si="13"/>
        <v>199580.78000000003</v>
      </c>
      <c r="I100" s="105">
        <v>569796</v>
      </c>
      <c r="J100" s="409"/>
      <c r="K100" s="105">
        <v>664762.07999999996</v>
      </c>
      <c r="L100" s="105">
        <v>664762</v>
      </c>
      <c r="M100" s="105">
        <v>664762</v>
      </c>
      <c r="N100" s="70"/>
      <c r="O100" s="70">
        <v>569796</v>
      </c>
      <c r="P100" s="70"/>
      <c r="Q100" s="35"/>
    </row>
    <row r="101" spans="1:17" ht="38.25" customHeight="1" x14ac:dyDescent="0.4">
      <c r="A101" s="385"/>
      <c r="B101" s="127" t="s">
        <v>277</v>
      </c>
      <c r="C101" s="46" t="s">
        <v>210</v>
      </c>
      <c r="D101" s="69"/>
      <c r="E101" s="70">
        <v>301169</v>
      </c>
      <c r="F101" s="70">
        <v>301169</v>
      </c>
      <c r="G101" s="70">
        <v>140277.44</v>
      </c>
      <c r="H101" s="70">
        <f t="shared" si="13"/>
        <v>160891.56</v>
      </c>
      <c r="I101" s="112">
        <v>0</v>
      </c>
      <c r="J101" s="410"/>
      <c r="K101" s="105">
        <v>455533.92</v>
      </c>
      <c r="L101" s="105">
        <f>188607+307014</f>
        <v>495621</v>
      </c>
      <c r="M101" s="105">
        <v>533288</v>
      </c>
      <c r="N101" s="70"/>
      <c r="O101" s="70">
        <f>167864+212439</f>
        <v>380303</v>
      </c>
      <c r="P101" s="70"/>
      <c r="Q101" s="35"/>
    </row>
    <row r="102" spans="1:17" ht="99.75" customHeight="1" x14ac:dyDescent="0.4">
      <c r="A102" s="385"/>
      <c r="B102" s="124" t="s">
        <v>278</v>
      </c>
      <c r="C102" s="125" t="s">
        <v>279</v>
      </c>
      <c r="D102" s="126">
        <v>2610</v>
      </c>
      <c r="E102" s="111">
        <f>SUM(E103:E107)</f>
        <v>24801379</v>
      </c>
      <c r="F102" s="111">
        <f>F103+F104+F105+F106+F107</f>
        <v>24801379</v>
      </c>
      <c r="G102" s="111">
        <f>G103+G104+G105+G106+G107</f>
        <v>14016973.449999999</v>
      </c>
      <c r="H102" s="111">
        <f t="shared" si="13"/>
        <v>10784405.550000001</v>
      </c>
      <c r="I102" s="112">
        <f>I103+I104+I105+I106+I107</f>
        <v>24801379</v>
      </c>
      <c r="J102" s="88" t="s">
        <v>280</v>
      </c>
      <c r="K102" s="112">
        <f>K103+K104+K105+K106+K107</f>
        <v>23942103</v>
      </c>
      <c r="L102" s="112">
        <f>L103+L104+L105+L106+L107</f>
        <v>26690987</v>
      </c>
      <c r="M102" s="112">
        <f>M103+M104+M105+M106+M107</f>
        <v>27007910</v>
      </c>
      <c r="N102" s="113"/>
      <c r="O102" s="111">
        <f>O103+O104+O105+O106+O107</f>
        <v>26430411</v>
      </c>
      <c r="P102" s="70" t="s">
        <v>281</v>
      </c>
      <c r="Q102" s="35"/>
    </row>
    <row r="103" spans="1:17" ht="39.75" customHeight="1" x14ac:dyDescent="0.4">
      <c r="A103" s="385"/>
      <c r="B103" s="127" t="s">
        <v>282</v>
      </c>
      <c r="C103" s="46" t="s">
        <v>107</v>
      </c>
      <c r="D103" s="69"/>
      <c r="E103" s="70">
        <v>8200735</v>
      </c>
      <c r="F103" s="70">
        <v>8200735</v>
      </c>
      <c r="G103" s="70">
        <v>4871456.29</v>
      </c>
      <c r="H103" s="70">
        <f t="shared" si="13"/>
        <v>3329278.71</v>
      </c>
      <c r="I103" s="70">
        <f>9660757</f>
        <v>9660757</v>
      </c>
      <c r="J103" s="390" t="s">
        <v>283</v>
      </c>
      <c r="K103" s="105">
        <f>9660757</f>
        <v>9660757</v>
      </c>
      <c r="L103" s="105">
        <f>9660757</f>
        <v>9660757</v>
      </c>
      <c r="M103" s="105">
        <f>9660757</f>
        <v>9660757</v>
      </c>
      <c r="N103" s="411"/>
      <c r="O103" s="70">
        <f>9660757</f>
        <v>9660757</v>
      </c>
      <c r="P103" s="390" t="s">
        <v>284</v>
      </c>
      <c r="Q103" s="35"/>
    </row>
    <row r="104" spans="1:17" ht="36.75" customHeight="1" x14ac:dyDescent="0.4">
      <c r="A104" s="385"/>
      <c r="B104" s="127" t="s">
        <v>285</v>
      </c>
      <c r="C104" s="46" t="s">
        <v>108</v>
      </c>
      <c r="D104" s="69"/>
      <c r="E104" s="70">
        <v>1804162</v>
      </c>
      <c r="F104" s="70">
        <v>1804162</v>
      </c>
      <c r="G104" s="70">
        <v>1052180.23</v>
      </c>
      <c r="H104" s="70">
        <f t="shared" si="13"/>
        <v>751981.77</v>
      </c>
      <c r="I104" s="70">
        <v>2125367</v>
      </c>
      <c r="J104" s="391"/>
      <c r="K104" s="105">
        <v>2125367</v>
      </c>
      <c r="L104" s="105">
        <v>2125367</v>
      </c>
      <c r="M104" s="105">
        <v>2125367</v>
      </c>
      <c r="N104" s="412"/>
      <c r="O104" s="70">
        <v>2125367</v>
      </c>
      <c r="P104" s="391"/>
      <c r="Q104" s="35"/>
    </row>
    <row r="105" spans="1:17" ht="96" customHeight="1" x14ac:dyDescent="0.4">
      <c r="A105" s="385"/>
      <c r="B105" s="127" t="s">
        <v>286</v>
      </c>
      <c r="C105" s="128" t="s">
        <v>287</v>
      </c>
      <c r="D105" s="69"/>
      <c r="E105" s="70">
        <v>3349322</v>
      </c>
      <c r="F105" s="70">
        <v>3349322</v>
      </c>
      <c r="G105" s="70">
        <v>2004292.34</v>
      </c>
      <c r="H105" s="70">
        <f t="shared" si="13"/>
        <v>1345029.66</v>
      </c>
      <c r="I105" s="70">
        <v>2935656</v>
      </c>
      <c r="J105" s="391"/>
      <c r="K105" s="105">
        <v>2581715</v>
      </c>
      <c r="L105" s="105">
        <v>3849299</v>
      </c>
      <c r="M105" s="105">
        <v>3888215</v>
      </c>
      <c r="N105" s="412"/>
      <c r="O105" s="70">
        <v>3537959</v>
      </c>
      <c r="P105" s="391"/>
      <c r="Q105" s="35"/>
    </row>
    <row r="106" spans="1:17" ht="75" customHeight="1" x14ac:dyDescent="0.4">
      <c r="A106" s="385"/>
      <c r="B106" s="127" t="s">
        <v>288</v>
      </c>
      <c r="C106" s="128" t="s">
        <v>210</v>
      </c>
      <c r="D106" s="69"/>
      <c r="E106" s="70">
        <v>1641409</v>
      </c>
      <c r="F106" s="70">
        <v>1641409</v>
      </c>
      <c r="G106" s="70">
        <v>696950.76</v>
      </c>
      <c r="H106" s="70">
        <f t="shared" si="13"/>
        <v>944458.23999999999</v>
      </c>
      <c r="I106" s="70">
        <v>2717540</v>
      </c>
      <c r="J106" s="391"/>
      <c r="K106" s="105">
        <f>75149+63333+2812275</f>
        <v>2950757</v>
      </c>
      <c r="L106" s="105">
        <v>2717540</v>
      </c>
      <c r="M106" s="105">
        <v>2717540</v>
      </c>
      <c r="N106" s="412"/>
      <c r="O106" s="70">
        <v>2502959</v>
      </c>
      <c r="P106" s="391"/>
      <c r="Q106" s="35"/>
    </row>
    <row r="107" spans="1:17" ht="86.25" customHeight="1" x14ac:dyDescent="0.4">
      <c r="A107" s="386"/>
      <c r="B107" s="127" t="s">
        <v>289</v>
      </c>
      <c r="C107" s="128" t="s">
        <v>211</v>
      </c>
      <c r="D107" s="69"/>
      <c r="E107" s="70">
        <v>9805751</v>
      </c>
      <c r="F107" s="70">
        <v>9805751</v>
      </c>
      <c r="G107" s="70">
        <v>5392093.8300000001</v>
      </c>
      <c r="H107" s="70">
        <f t="shared" si="13"/>
        <v>4413657.17</v>
      </c>
      <c r="I107" s="70">
        <v>7362059</v>
      </c>
      <c r="J107" s="392"/>
      <c r="K107" s="105">
        <f>5359611+2489690+81280-1307256+182</f>
        <v>6623507</v>
      </c>
      <c r="L107" s="105">
        <v>8338024</v>
      </c>
      <c r="M107" s="105">
        <v>8616031</v>
      </c>
      <c r="N107" s="413"/>
      <c r="O107" s="70">
        <v>8603369</v>
      </c>
      <c r="P107" s="392"/>
      <c r="Q107" s="35"/>
    </row>
    <row r="108" spans="1:17" ht="73.5" customHeight="1" x14ac:dyDescent="0.4">
      <c r="A108" s="129"/>
      <c r="B108" s="124" t="s">
        <v>290</v>
      </c>
      <c r="C108" s="130" t="s">
        <v>291</v>
      </c>
      <c r="D108" s="69"/>
      <c r="E108" s="70">
        <v>0</v>
      </c>
      <c r="F108" s="70">
        <v>46875.6</v>
      </c>
      <c r="G108" s="70">
        <v>19913.04</v>
      </c>
      <c r="H108" s="70">
        <f t="shared" si="13"/>
        <v>26962.559999999998</v>
      </c>
      <c r="I108" s="70"/>
      <c r="J108" s="131"/>
      <c r="K108" s="105">
        <v>0</v>
      </c>
      <c r="L108" s="105">
        <v>0</v>
      </c>
      <c r="M108" s="105">
        <v>0</v>
      </c>
      <c r="N108" s="131"/>
      <c r="O108" s="70"/>
      <c r="P108" s="131"/>
      <c r="Q108" s="35"/>
    </row>
    <row r="109" spans="1:17" ht="68.25" customHeight="1" x14ac:dyDescent="0.4">
      <c r="A109" s="129"/>
      <c r="B109" s="124" t="s">
        <v>292</v>
      </c>
      <c r="C109" s="130" t="s">
        <v>293</v>
      </c>
      <c r="D109" s="69"/>
      <c r="E109" s="70">
        <v>0</v>
      </c>
      <c r="F109" s="70">
        <v>99000</v>
      </c>
      <c r="G109" s="70">
        <v>0</v>
      </c>
      <c r="H109" s="70">
        <f t="shared" si="13"/>
        <v>99000</v>
      </c>
      <c r="I109" s="70"/>
      <c r="J109" s="131"/>
      <c r="K109" s="105">
        <v>0</v>
      </c>
      <c r="L109" s="105">
        <v>0</v>
      </c>
      <c r="M109" s="105">
        <v>0</v>
      </c>
      <c r="N109" s="131"/>
      <c r="O109" s="70"/>
      <c r="P109" s="131"/>
      <c r="Q109" s="35"/>
    </row>
    <row r="110" spans="1:17" ht="34.5" customHeight="1" x14ac:dyDescent="0.4">
      <c r="A110" s="132"/>
      <c r="B110" s="49"/>
      <c r="C110" s="133" t="s">
        <v>112</v>
      </c>
      <c r="D110" s="34"/>
      <c r="E110" s="134">
        <f>E87+E88+E89+E90+E91+E92+E93+E94+E95+E96+E97+E98+E102+E108+E109</f>
        <v>38529655</v>
      </c>
      <c r="F110" s="134">
        <f>F87+F88+F89+F90+F91+F92+F93+F94+F95+F96+F97+F98+F102+F108+F109</f>
        <v>39284127</v>
      </c>
      <c r="G110" s="134">
        <f>G87+G88+G89+G90+G91+G92+G93+G94+G95+G96+G97+G98+G102+G108+G109</f>
        <v>21498029.539999999</v>
      </c>
      <c r="H110" s="134">
        <f>H87+H88+H89+H90+H91+H92+H93+H94+H95+H96+H97+H98+H102+H108+H109</f>
        <v>17786097.460000001</v>
      </c>
      <c r="I110" s="134">
        <f t="shared" ref="I110:O110" si="15">I87+I88+I89+I90+I91+I92+I93+I94+I95+I96+I97+I98+I102</f>
        <v>39592295</v>
      </c>
      <c r="J110" s="134"/>
      <c r="K110" s="134">
        <f t="shared" si="15"/>
        <v>39136100</v>
      </c>
      <c r="L110" s="134">
        <f t="shared" si="15"/>
        <v>42171515</v>
      </c>
      <c r="M110" s="134">
        <f t="shared" si="15"/>
        <v>43407398</v>
      </c>
      <c r="N110" s="134"/>
      <c r="O110" s="134">
        <f t="shared" si="15"/>
        <v>42720192</v>
      </c>
      <c r="P110" s="134"/>
      <c r="Q110" s="35"/>
    </row>
    <row r="111" spans="1:17" ht="56.25" customHeight="1" x14ac:dyDescent="0.4">
      <c r="A111" s="414" t="s">
        <v>294</v>
      </c>
      <c r="B111" s="415"/>
      <c r="C111" s="415"/>
      <c r="D111" s="415"/>
      <c r="E111" s="415"/>
      <c r="F111" s="415"/>
      <c r="G111" s="415"/>
      <c r="H111" s="415"/>
      <c r="I111" s="415"/>
      <c r="J111" s="415"/>
      <c r="K111" s="415"/>
      <c r="L111" s="415"/>
      <c r="M111" s="415"/>
      <c r="N111" s="415"/>
      <c r="O111" s="415"/>
      <c r="P111" s="416"/>
      <c r="Q111" s="35"/>
    </row>
    <row r="112" spans="1:17" ht="74.25" customHeight="1" x14ac:dyDescent="0.4">
      <c r="A112" s="417" t="s">
        <v>295</v>
      </c>
      <c r="B112" s="124" t="s">
        <v>296</v>
      </c>
      <c r="C112" s="73" t="s">
        <v>297</v>
      </c>
      <c r="D112" s="69">
        <v>2281</v>
      </c>
      <c r="E112" s="54">
        <v>0</v>
      </c>
      <c r="F112" s="54">
        <f>5000000-394080.8</f>
        <v>4605919.2</v>
      </c>
      <c r="G112" s="54">
        <v>0</v>
      </c>
      <c r="H112" s="54">
        <f>F112-G112</f>
        <v>4605919.2</v>
      </c>
      <c r="I112" s="54">
        <v>0</v>
      </c>
      <c r="J112" s="54"/>
      <c r="K112" s="54">
        <v>0</v>
      </c>
      <c r="L112" s="54">
        <v>0</v>
      </c>
      <c r="M112" s="54">
        <v>0</v>
      </c>
      <c r="N112" s="54"/>
      <c r="O112" s="54">
        <v>0</v>
      </c>
      <c r="P112" s="38"/>
      <c r="Q112" s="35"/>
    </row>
    <row r="113" spans="1:17" ht="86.25" customHeight="1" x14ac:dyDescent="0.4">
      <c r="A113" s="418"/>
      <c r="B113" s="124" t="s">
        <v>298</v>
      </c>
      <c r="C113" s="73" t="s">
        <v>299</v>
      </c>
      <c r="D113" s="135" t="s">
        <v>300</v>
      </c>
      <c r="E113" s="54">
        <v>0</v>
      </c>
      <c r="F113" s="54">
        <v>35000000</v>
      </c>
      <c r="G113" s="54">
        <v>0</v>
      </c>
      <c r="H113" s="54">
        <f>F113-G113</f>
        <v>35000000</v>
      </c>
      <c r="I113" s="54"/>
      <c r="J113" s="54"/>
      <c r="K113" s="136">
        <f>35000000-35000000</f>
        <v>0</v>
      </c>
      <c r="L113" s="136">
        <v>0</v>
      </c>
      <c r="M113" s="136">
        <v>0</v>
      </c>
      <c r="N113" s="54"/>
      <c r="O113" s="54"/>
      <c r="P113" s="38"/>
      <c r="Q113" s="35"/>
    </row>
    <row r="114" spans="1:17" ht="32.25" customHeight="1" x14ac:dyDescent="0.4">
      <c r="A114" s="137"/>
      <c r="B114" s="49"/>
      <c r="C114" s="138" t="s">
        <v>112</v>
      </c>
      <c r="D114" s="34"/>
      <c r="E114" s="139">
        <f>E112+E113</f>
        <v>0</v>
      </c>
      <c r="F114" s="139">
        <f>F112+F113</f>
        <v>39605919.200000003</v>
      </c>
      <c r="G114" s="139">
        <f>G112+G113</f>
        <v>0</v>
      </c>
      <c r="H114" s="139">
        <f>H112+H113</f>
        <v>39605919.200000003</v>
      </c>
      <c r="I114" s="139">
        <f>I112</f>
        <v>0</v>
      </c>
      <c r="J114" s="139">
        <f>J112</f>
        <v>0</v>
      </c>
      <c r="K114" s="139">
        <f>K112+K113</f>
        <v>0</v>
      </c>
      <c r="L114" s="139">
        <f>L112+L113</f>
        <v>0</v>
      </c>
      <c r="M114" s="139">
        <f>M112+M113</f>
        <v>0</v>
      </c>
      <c r="N114" s="139"/>
      <c r="O114" s="139">
        <f>O112</f>
        <v>0</v>
      </c>
      <c r="P114" s="139"/>
      <c r="Q114" s="35"/>
    </row>
    <row r="115" spans="1:17" ht="46.5" customHeight="1" x14ac:dyDescent="0.4">
      <c r="A115" s="406" t="s">
        <v>301</v>
      </c>
      <c r="B115" s="407"/>
      <c r="C115" s="407"/>
      <c r="D115" s="407"/>
      <c r="E115" s="407"/>
      <c r="F115" s="407"/>
      <c r="G115" s="407"/>
      <c r="H115" s="407"/>
      <c r="I115" s="407"/>
      <c r="J115" s="407"/>
      <c r="K115" s="407"/>
      <c r="L115" s="407"/>
      <c r="M115" s="407"/>
      <c r="N115" s="407"/>
      <c r="O115" s="407"/>
      <c r="P115" s="407"/>
      <c r="Q115" s="35"/>
    </row>
    <row r="116" spans="1:17" ht="96" customHeight="1" x14ac:dyDescent="0.4">
      <c r="A116" s="417" t="s">
        <v>302</v>
      </c>
      <c r="B116" s="124" t="s">
        <v>303</v>
      </c>
      <c r="C116" s="63" t="s">
        <v>304</v>
      </c>
      <c r="D116" s="126">
        <v>2610</v>
      </c>
      <c r="E116" s="111">
        <f>E117+E118+E119</f>
        <v>1849207</v>
      </c>
      <c r="F116" s="111">
        <f>F117+F118+F119</f>
        <v>1849207</v>
      </c>
      <c r="G116" s="111">
        <f>G117+G118+G119</f>
        <v>1065214.75</v>
      </c>
      <c r="H116" s="111">
        <f>H117+H118+H119</f>
        <v>783992.25</v>
      </c>
      <c r="I116" s="111">
        <f>I117+I118+I119</f>
        <v>1919388</v>
      </c>
      <c r="J116" s="111"/>
      <c r="K116" s="112">
        <f>K117+K118+K119+K120</f>
        <v>3539751</v>
      </c>
      <c r="L116" s="112">
        <f>L117+L118+L119+L120</f>
        <v>3153473</v>
      </c>
      <c r="M116" s="112">
        <f>M117+M118+M119+M120</f>
        <v>3174934</v>
      </c>
      <c r="N116" s="113"/>
      <c r="O116" s="111">
        <f>O117+O118+O119+O120</f>
        <v>3979406</v>
      </c>
      <c r="P116" s="113"/>
      <c r="Q116" s="35"/>
    </row>
    <row r="117" spans="1:17" ht="42.75" customHeight="1" x14ac:dyDescent="0.4">
      <c r="A117" s="419"/>
      <c r="B117" s="103" t="s">
        <v>305</v>
      </c>
      <c r="C117" s="46" t="s">
        <v>107</v>
      </c>
      <c r="D117" s="69"/>
      <c r="E117" s="113">
        <v>1335522</v>
      </c>
      <c r="F117" s="70">
        <v>1335522</v>
      </c>
      <c r="G117" s="70">
        <v>790223.3</v>
      </c>
      <c r="H117" s="70">
        <f>F117-G117</f>
        <v>545298.69999999995</v>
      </c>
      <c r="I117" s="70">
        <v>1573269</v>
      </c>
      <c r="J117" s="70"/>
      <c r="K117" s="105">
        <v>2359289</v>
      </c>
      <c r="L117" s="105">
        <v>2359289</v>
      </c>
      <c r="M117" s="105">
        <v>2359289</v>
      </c>
      <c r="N117" s="70"/>
      <c r="O117" s="70">
        <v>2359289</v>
      </c>
      <c r="P117" s="70"/>
      <c r="Q117" s="35"/>
    </row>
    <row r="118" spans="1:17" ht="37.5" customHeight="1" x14ac:dyDescent="0.4">
      <c r="A118" s="419"/>
      <c r="B118" s="103" t="s">
        <v>306</v>
      </c>
      <c r="C118" s="46" t="s">
        <v>108</v>
      </c>
      <c r="D118" s="69"/>
      <c r="E118" s="113">
        <v>293815</v>
      </c>
      <c r="F118" s="70">
        <v>293815</v>
      </c>
      <c r="G118" s="70">
        <v>173849.45</v>
      </c>
      <c r="H118" s="70">
        <f t="shared" ref="H118:H125" si="16">F118-G118</f>
        <v>119965.54999999999</v>
      </c>
      <c r="I118" s="70">
        <v>346119</v>
      </c>
      <c r="J118" s="70"/>
      <c r="K118" s="105">
        <v>519044</v>
      </c>
      <c r="L118" s="105">
        <v>519044</v>
      </c>
      <c r="M118" s="105">
        <v>519044</v>
      </c>
      <c r="N118" s="70"/>
      <c r="O118" s="70">
        <v>519044</v>
      </c>
      <c r="P118" s="70"/>
      <c r="Q118" s="35"/>
    </row>
    <row r="119" spans="1:17" ht="58.5" customHeight="1" x14ac:dyDescent="0.4">
      <c r="A119" s="419"/>
      <c r="B119" s="103" t="s">
        <v>307</v>
      </c>
      <c r="C119" s="46" t="s">
        <v>211</v>
      </c>
      <c r="D119" s="69"/>
      <c r="E119" s="113">
        <v>219870</v>
      </c>
      <c r="F119" s="70">
        <v>219870</v>
      </c>
      <c r="G119" s="70">
        <v>101142</v>
      </c>
      <c r="H119" s="70">
        <f t="shared" si="16"/>
        <v>118728</v>
      </c>
      <c r="I119" s="105">
        <v>0</v>
      </c>
      <c r="J119" s="70"/>
      <c r="K119" s="105">
        <f>274786-30000</f>
        <v>244786</v>
      </c>
      <c r="L119" s="105">
        <v>275140</v>
      </c>
      <c r="M119" s="105">
        <v>296601</v>
      </c>
      <c r="N119" s="70"/>
      <c r="O119" s="105">
        <f>850+450+700+720+7700+750+4800+4000+4800+15000+826287+14500+1800+5000+30000+105966+25000+30000+1500+1950+6000+1500+4800+10000+3000-6000-826287</f>
        <v>274786</v>
      </c>
      <c r="P119" s="70"/>
      <c r="Q119" s="35"/>
    </row>
    <row r="120" spans="1:17" ht="87.75" customHeight="1" x14ac:dyDescent="0.4">
      <c r="A120" s="419"/>
      <c r="B120" s="103" t="s">
        <v>308</v>
      </c>
      <c r="C120" s="46" t="s">
        <v>309</v>
      </c>
      <c r="D120" s="69"/>
      <c r="E120" s="113">
        <v>0</v>
      </c>
      <c r="F120" s="70">
        <v>0</v>
      </c>
      <c r="G120" s="70">
        <v>0</v>
      </c>
      <c r="H120" s="70">
        <f t="shared" si="16"/>
        <v>0</v>
      </c>
      <c r="I120" s="105">
        <v>0</v>
      </c>
      <c r="J120" s="70"/>
      <c r="K120" s="105">
        <v>416632</v>
      </c>
      <c r="L120" s="105">
        <v>0</v>
      </c>
      <c r="M120" s="105">
        <v>0</v>
      </c>
      <c r="N120" s="70"/>
      <c r="O120" s="105">
        <v>826287</v>
      </c>
      <c r="P120" s="70"/>
      <c r="Q120" s="35"/>
    </row>
    <row r="121" spans="1:17" ht="85.5" customHeight="1" x14ac:dyDescent="0.4">
      <c r="A121" s="419"/>
      <c r="B121" s="124" t="s">
        <v>310</v>
      </c>
      <c r="C121" s="140" t="s">
        <v>311</v>
      </c>
      <c r="D121" s="126">
        <v>2610</v>
      </c>
      <c r="E121" s="111">
        <f>E122</f>
        <v>230000</v>
      </c>
      <c r="F121" s="111">
        <f>F122</f>
        <v>230000</v>
      </c>
      <c r="G121" s="111">
        <f>G122</f>
        <v>178560</v>
      </c>
      <c r="H121" s="111">
        <f t="shared" si="16"/>
        <v>51440</v>
      </c>
      <c r="I121" s="111">
        <f>I122</f>
        <v>230000</v>
      </c>
      <c r="J121" s="70"/>
      <c r="K121" s="112">
        <f>K122</f>
        <v>230000</v>
      </c>
      <c r="L121" s="112">
        <f>L122</f>
        <v>230000</v>
      </c>
      <c r="M121" s="112">
        <f>M122</f>
        <v>230000</v>
      </c>
      <c r="N121" s="70"/>
      <c r="O121" s="111">
        <f>O122</f>
        <v>230000</v>
      </c>
      <c r="P121" s="70"/>
      <c r="Q121" s="35"/>
    </row>
    <row r="122" spans="1:17" ht="41.25" customHeight="1" x14ac:dyDescent="0.4">
      <c r="A122" s="419"/>
      <c r="B122" s="123" t="s">
        <v>312</v>
      </c>
      <c r="C122" s="128" t="s">
        <v>313</v>
      </c>
      <c r="D122" s="69"/>
      <c r="E122" s="113">
        <v>230000</v>
      </c>
      <c r="F122" s="70">
        <v>230000</v>
      </c>
      <c r="G122" s="70">
        <v>178560</v>
      </c>
      <c r="H122" s="70">
        <f t="shared" si="16"/>
        <v>51440</v>
      </c>
      <c r="I122" s="70">
        <v>230000</v>
      </c>
      <c r="J122" s="70"/>
      <c r="K122" s="105">
        <v>230000</v>
      </c>
      <c r="L122" s="105">
        <v>230000</v>
      </c>
      <c r="M122" s="105">
        <v>230000</v>
      </c>
      <c r="N122" s="70"/>
      <c r="O122" s="70">
        <v>230000</v>
      </c>
      <c r="P122" s="70"/>
      <c r="Q122" s="35"/>
    </row>
    <row r="123" spans="1:17" ht="200.25" customHeight="1" x14ac:dyDescent="0.4">
      <c r="A123" s="419"/>
      <c r="B123" s="141" t="s">
        <v>314</v>
      </c>
      <c r="C123" s="115" t="s">
        <v>315</v>
      </c>
      <c r="D123" s="126">
        <v>2610</v>
      </c>
      <c r="E123" s="142">
        <f>SUM(E124:E125)</f>
        <v>23189363</v>
      </c>
      <c r="F123" s="111">
        <f>F124+F125</f>
        <v>17936228</v>
      </c>
      <c r="G123" s="111">
        <f>G124+G125</f>
        <v>2983471.37</v>
      </c>
      <c r="H123" s="111">
        <f t="shared" si="16"/>
        <v>14952756.629999999</v>
      </c>
      <c r="I123" s="111">
        <f>I124+I125</f>
        <v>44841679.810000002</v>
      </c>
      <c r="J123" s="70"/>
      <c r="K123" s="112">
        <f>K124+K125</f>
        <v>41549048</v>
      </c>
      <c r="L123" s="112">
        <f>L124+L125</f>
        <v>66191047</v>
      </c>
      <c r="M123" s="112">
        <f>M124+M125</f>
        <v>62336461</v>
      </c>
      <c r="N123" s="100"/>
      <c r="O123" s="111">
        <f>O124+O125</f>
        <v>44841680</v>
      </c>
      <c r="P123" s="70"/>
      <c r="Q123" s="35"/>
    </row>
    <row r="124" spans="1:17" ht="104.25" customHeight="1" x14ac:dyDescent="0.4">
      <c r="A124" s="419"/>
      <c r="B124" s="127" t="s">
        <v>316</v>
      </c>
      <c r="C124" s="46" t="s">
        <v>317</v>
      </c>
      <c r="D124" s="126"/>
      <c r="E124" s="113">
        <v>17585279</v>
      </c>
      <c r="F124" s="70">
        <v>17585279</v>
      </c>
      <c r="G124" s="70">
        <v>2983471.37</v>
      </c>
      <c r="H124" s="105">
        <f t="shared" si="16"/>
        <v>14601807.629999999</v>
      </c>
      <c r="I124" s="105">
        <f>288883.06+10129957.99+6050115.46+15562105.48+12681365+129252.82</f>
        <v>44841679.810000002</v>
      </c>
      <c r="J124" s="105"/>
      <c r="K124" s="105">
        <f>24562175+16454784+532089</f>
        <v>41549048</v>
      </c>
      <c r="L124" s="105">
        <f>39230717+26960330</f>
        <v>66191047</v>
      </c>
      <c r="M124" s="105">
        <f>39145584+23190877</f>
        <v>62336461</v>
      </c>
      <c r="N124" s="70"/>
      <c r="O124" s="70">
        <f>288883.06+10129957.99+6050115.46+15562105.48+12681365+129252.82+0.19</f>
        <v>44841680</v>
      </c>
      <c r="P124" s="70"/>
      <c r="Q124" s="35"/>
    </row>
    <row r="125" spans="1:17" ht="36.75" customHeight="1" x14ac:dyDescent="0.4">
      <c r="A125" s="418"/>
      <c r="B125" s="127" t="s">
        <v>318</v>
      </c>
      <c r="C125" s="46" t="s">
        <v>319</v>
      </c>
      <c r="D125" s="126"/>
      <c r="E125" s="113">
        <v>5604084</v>
      </c>
      <c r="F125" s="70">
        <f>1850949-1500000</f>
        <v>350949</v>
      </c>
      <c r="G125" s="70">
        <v>0</v>
      </c>
      <c r="H125" s="70">
        <f t="shared" si="16"/>
        <v>350949</v>
      </c>
      <c r="I125" s="70">
        <v>0</v>
      </c>
      <c r="J125" s="70"/>
      <c r="K125" s="70">
        <v>0</v>
      </c>
      <c r="L125" s="70"/>
      <c r="M125" s="70"/>
      <c r="N125" s="70"/>
      <c r="O125" s="70">
        <v>0</v>
      </c>
      <c r="P125" s="70"/>
      <c r="Q125" s="35"/>
    </row>
    <row r="126" spans="1:17" ht="35.25" customHeight="1" x14ac:dyDescent="0.4">
      <c r="A126" s="143"/>
      <c r="B126" s="49"/>
      <c r="C126" s="138" t="s">
        <v>112</v>
      </c>
      <c r="D126" s="34"/>
      <c r="E126" s="134">
        <f>E116+E121+E123</f>
        <v>25268570</v>
      </c>
      <c r="F126" s="134">
        <f>F116+F121+F123</f>
        <v>20015435</v>
      </c>
      <c r="G126" s="134">
        <f>G116+G121+G123</f>
        <v>4227246.12</v>
      </c>
      <c r="H126" s="134">
        <f>H116+H121+H123</f>
        <v>15788188.879999999</v>
      </c>
      <c r="I126" s="134">
        <f>I116+I121+I123</f>
        <v>46991067.810000002</v>
      </c>
      <c r="J126" s="134"/>
      <c r="K126" s="134">
        <f>K116+K121+K123</f>
        <v>45318799</v>
      </c>
      <c r="L126" s="134">
        <f>L116+L121+L123</f>
        <v>69574520</v>
      </c>
      <c r="M126" s="134">
        <f>M116+M121+M123</f>
        <v>65741395</v>
      </c>
      <c r="N126" s="134"/>
      <c r="O126" s="134">
        <f>O116+O121+O123</f>
        <v>49051086</v>
      </c>
      <c r="P126" s="134"/>
      <c r="Q126" s="35"/>
    </row>
    <row r="127" spans="1:17" ht="23.25" hidden="1" customHeight="1" x14ac:dyDescent="0.4">
      <c r="A127" s="420" t="s">
        <v>320</v>
      </c>
      <c r="B127" s="420"/>
      <c r="C127" s="420"/>
      <c r="D127" s="420"/>
      <c r="E127" s="420"/>
      <c r="F127" s="420"/>
      <c r="G127" s="420"/>
      <c r="H127" s="144"/>
      <c r="I127" s="144"/>
      <c r="J127" s="144"/>
      <c r="K127" s="144"/>
      <c r="L127" s="144"/>
      <c r="M127" s="144"/>
      <c r="N127" s="144"/>
      <c r="O127" s="144"/>
      <c r="P127" s="144"/>
      <c r="Q127" s="35"/>
    </row>
    <row r="128" spans="1:17" ht="23.25" hidden="1" customHeight="1" x14ac:dyDescent="0.4">
      <c r="A128" s="399" t="s">
        <v>321</v>
      </c>
      <c r="B128" s="144" t="s">
        <v>322</v>
      </c>
      <c r="C128" s="145" t="s">
        <v>323</v>
      </c>
      <c r="D128" s="30">
        <v>2620</v>
      </c>
      <c r="E128" s="49">
        <f>E129+E134+E138+E143+E146</f>
        <v>2811905</v>
      </c>
      <c r="F128" s="49">
        <f>F129+F134+F138+F143+F146</f>
        <v>0</v>
      </c>
      <c r="G128" s="49">
        <f>G129+G134+G138+G143+G146</f>
        <v>0</v>
      </c>
      <c r="H128" s="28"/>
      <c r="I128" s="28"/>
      <c r="J128" s="28"/>
      <c r="K128" s="28"/>
      <c r="L128" s="28"/>
      <c r="M128" s="28"/>
      <c r="N128" s="28"/>
      <c r="O128" s="28"/>
      <c r="P128" s="28"/>
      <c r="Q128" s="35"/>
    </row>
    <row r="129" spans="1:17" ht="23.25" hidden="1" customHeight="1" x14ac:dyDescent="0.4">
      <c r="A129" s="399"/>
      <c r="B129" s="146" t="s">
        <v>324</v>
      </c>
      <c r="C129" s="147" t="s">
        <v>325</v>
      </c>
      <c r="D129" s="148"/>
      <c r="E129" s="146">
        <f>E130+E131+E132+E133</f>
        <v>553607</v>
      </c>
      <c r="F129" s="146">
        <f>F130+F131+F132+F133</f>
        <v>0</v>
      </c>
      <c r="G129" s="146">
        <f>G130+G131+G132+G133</f>
        <v>0</v>
      </c>
      <c r="H129" s="146"/>
      <c r="I129" s="146"/>
      <c r="J129" s="146"/>
      <c r="K129" s="146"/>
      <c r="L129" s="146"/>
      <c r="M129" s="146"/>
      <c r="N129" s="146"/>
      <c r="O129" s="146"/>
      <c r="P129" s="146"/>
      <c r="Q129" s="35"/>
    </row>
    <row r="130" spans="1:17" ht="23.25" hidden="1" customHeight="1" x14ac:dyDescent="0.4">
      <c r="A130" s="399"/>
      <c r="B130" s="54" t="s">
        <v>326</v>
      </c>
      <c r="C130" s="149" t="s">
        <v>327</v>
      </c>
      <c r="D130" s="150"/>
      <c r="E130" s="54">
        <v>1400</v>
      </c>
      <c r="F130" s="54">
        <v>0</v>
      </c>
      <c r="G130" s="54">
        <f>F130</f>
        <v>0</v>
      </c>
      <c r="H130" s="54"/>
      <c r="I130" s="54"/>
      <c r="J130" s="54"/>
      <c r="K130" s="54"/>
      <c r="L130" s="54"/>
      <c r="M130" s="54"/>
      <c r="N130" s="54"/>
      <c r="O130" s="54"/>
      <c r="P130" s="54"/>
      <c r="Q130" s="35"/>
    </row>
    <row r="131" spans="1:17" ht="23.25" hidden="1" customHeight="1" x14ac:dyDescent="0.4">
      <c r="A131" s="399"/>
      <c r="B131" s="54" t="s">
        <v>328</v>
      </c>
      <c r="C131" s="149" t="s">
        <v>329</v>
      </c>
      <c r="D131" s="150"/>
      <c r="E131" s="54">
        <v>228480</v>
      </c>
      <c r="F131" s="54">
        <v>0</v>
      </c>
      <c r="G131" s="54">
        <f>F131</f>
        <v>0</v>
      </c>
      <c r="H131" s="54"/>
      <c r="I131" s="54"/>
      <c r="J131" s="54"/>
      <c r="K131" s="54"/>
      <c r="L131" s="54"/>
      <c r="M131" s="54"/>
      <c r="N131" s="54"/>
      <c r="O131" s="54"/>
      <c r="P131" s="54"/>
      <c r="Q131" s="35"/>
    </row>
    <row r="132" spans="1:17" ht="23.25" hidden="1" customHeight="1" x14ac:dyDescent="0.4">
      <c r="A132" s="399"/>
      <c r="B132" s="54" t="s">
        <v>330</v>
      </c>
      <c r="C132" s="149" t="s">
        <v>331</v>
      </c>
      <c r="D132" s="150"/>
      <c r="E132" s="54">
        <v>24000</v>
      </c>
      <c r="F132" s="54">
        <v>0</v>
      </c>
      <c r="G132" s="54">
        <f>F132</f>
        <v>0</v>
      </c>
      <c r="H132" s="54"/>
      <c r="I132" s="54"/>
      <c r="J132" s="54"/>
      <c r="K132" s="54"/>
      <c r="L132" s="54"/>
      <c r="M132" s="54"/>
      <c r="N132" s="54"/>
      <c r="O132" s="54"/>
      <c r="P132" s="54"/>
      <c r="Q132" s="35"/>
    </row>
    <row r="133" spans="1:17" ht="23.25" hidden="1" customHeight="1" x14ac:dyDescent="0.4">
      <c r="A133" s="399"/>
      <c r="B133" s="54" t="s">
        <v>332</v>
      </c>
      <c r="C133" s="149" t="s">
        <v>333</v>
      </c>
      <c r="D133" s="150"/>
      <c r="E133" s="54">
        <v>299727</v>
      </c>
      <c r="F133" s="54">
        <v>0</v>
      </c>
      <c r="G133" s="54">
        <f>F133</f>
        <v>0</v>
      </c>
      <c r="H133" s="54"/>
      <c r="I133" s="54"/>
      <c r="J133" s="54"/>
      <c r="K133" s="54"/>
      <c r="L133" s="54"/>
      <c r="M133" s="54"/>
      <c r="N133" s="54"/>
      <c r="O133" s="54"/>
      <c r="P133" s="54"/>
      <c r="Q133" s="35"/>
    </row>
    <row r="134" spans="1:17" ht="23.25" hidden="1" customHeight="1" x14ac:dyDescent="0.4">
      <c r="A134" s="399"/>
      <c r="B134" s="146" t="s">
        <v>334</v>
      </c>
      <c r="C134" s="147" t="s">
        <v>335</v>
      </c>
      <c r="D134" s="148"/>
      <c r="E134" s="146">
        <f>E135+E136+E137</f>
        <v>458314</v>
      </c>
      <c r="F134" s="146">
        <f>F135+F136+F137</f>
        <v>0</v>
      </c>
      <c r="G134" s="146">
        <f>G135+G136+G137</f>
        <v>0</v>
      </c>
      <c r="H134" s="146"/>
      <c r="I134" s="146"/>
      <c r="J134" s="146"/>
      <c r="K134" s="146"/>
      <c r="L134" s="146"/>
      <c r="M134" s="146"/>
      <c r="N134" s="146"/>
      <c r="O134" s="146"/>
      <c r="P134" s="146"/>
      <c r="Q134" s="35"/>
    </row>
    <row r="135" spans="1:17" ht="23.25" hidden="1" customHeight="1" x14ac:dyDescent="0.4">
      <c r="A135" s="399"/>
      <c r="B135" s="54" t="s">
        <v>336</v>
      </c>
      <c r="C135" s="149" t="s">
        <v>337</v>
      </c>
      <c r="D135" s="150"/>
      <c r="E135" s="54">
        <v>104566</v>
      </c>
      <c r="F135" s="54">
        <v>0</v>
      </c>
      <c r="G135" s="54">
        <f>F135</f>
        <v>0</v>
      </c>
      <c r="H135" s="54"/>
      <c r="I135" s="54"/>
      <c r="J135" s="54"/>
      <c r="K135" s="54"/>
      <c r="L135" s="54"/>
      <c r="M135" s="54"/>
      <c r="N135" s="54"/>
      <c r="O135" s="54"/>
      <c r="P135" s="54"/>
      <c r="Q135" s="35"/>
    </row>
    <row r="136" spans="1:17" ht="23.25" hidden="1" customHeight="1" x14ac:dyDescent="0.4">
      <c r="A136" s="399"/>
      <c r="B136" s="54" t="s">
        <v>338</v>
      </c>
      <c r="C136" s="149" t="s">
        <v>339</v>
      </c>
      <c r="D136" s="150"/>
      <c r="E136" s="54">
        <v>277700</v>
      </c>
      <c r="F136" s="54">
        <v>0</v>
      </c>
      <c r="G136" s="54">
        <f>F136</f>
        <v>0</v>
      </c>
      <c r="H136" s="54"/>
      <c r="I136" s="54"/>
      <c r="J136" s="54"/>
      <c r="K136" s="54"/>
      <c r="L136" s="54"/>
      <c r="M136" s="54"/>
      <c r="N136" s="54"/>
      <c r="O136" s="54"/>
      <c r="P136" s="54"/>
      <c r="Q136" s="35"/>
    </row>
    <row r="137" spans="1:17" ht="23.25" hidden="1" customHeight="1" x14ac:dyDescent="0.4">
      <c r="A137" s="399"/>
      <c r="B137" s="54" t="s">
        <v>340</v>
      </c>
      <c r="C137" s="149" t="s">
        <v>341</v>
      </c>
      <c r="D137" s="150"/>
      <c r="E137" s="54">
        <v>76048</v>
      </c>
      <c r="F137" s="54">
        <v>0</v>
      </c>
      <c r="G137" s="54">
        <f>F137</f>
        <v>0</v>
      </c>
      <c r="H137" s="54"/>
      <c r="I137" s="54"/>
      <c r="J137" s="54"/>
      <c r="K137" s="54"/>
      <c r="L137" s="54"/>
      <c r="M137" s="54"/>
      <c r="N137" s="54"/>
      <c r="O137" s="54"/>
      <c r="P137" s="54"/>
      <c r="Q137" s="35"/>
    </row>
    <row r="138" spans="1:17" ht="23.25" hidden="1" customHeight="1" x14ac:dyDescent="0.4">
      <c r="A138" s="399"/>
      <c r="B138" s="146" t="s">
        <v>342</v>
      </c>
      <c r="C138" s="147" t="s">
        <v>343</v>
      </c>
      <c r="D138" s="148"/>
      <c r="E138" s="146">
        <f>E139+E140+E141+E142</f>
        <v>405590</v>
      </c>
      <c r="F138" s="146">
        <f>F139+F140+F141+F142</f>
        <v>0</v>
      </c>
      <c r="G138" s="146">
        <f>G139+G140+G141+G142</f>
        <v>0</v>
      </c>
      <c r="H138" s="146"/>
      <c r="I138" s="146"/>
      <c r="J138" s="146"/>
      <c r="K138" s="146"/>
      <c r="L138" s="146"/>
      <c r="M138" s="146"/>
      <c r="N138" s="146"/>
      <c r="O138" s="146"/>
      <c r="P138" s="146"/>
      <c r="Q138" s="35"/>
    </row>
    <row r="139" spans="1:17" ht="42.75" hidden="1" customHeight="1" x14ac:dyDescent="0.4">
      <c r="A139" s="399"/>
      <c r="B139" s="54" t="s">
        <v>344</v>
      </c>
      <c r="C139" s="149" t="s">
        <v>345</v>
      </c>
      <c r="D139" s="150"/>
      <c r="E139" s="54">
        <v>5000</v>
      </c>
      <c r="F139" s="54">
        <v>0</v>
      </c>
      <c r="G139" s="54">
        <f>F139</f>
        <v>0</v>
      </c>
      <c r="H139" s="54"/>
      <c r="I139" s="54"/>
      <c r="J139" s="54"/>
      <c r="K139" s="54"/>
      <c r="L139" s="54"/>
      <c r="M139" s="54"/>
      <c r="N139" s="54"/>
      <c r="O139" s="54"/>
      <c r="P139" s="54"/>
      <c r="Q139" s="35"/>
    </row>
    <row r="140" spans="1:17" ht="48.75" hidden="1" customHeight="1" x14ac:dyDescent="0.4">
      <c r="A140" s="399"/>
      <c r="B140" s="54" t="s">
        <v>346</v>
      </c>
      <c r="C140" s="149" t="s">
        <v>347</v>
      </c>
      <c r="D140" s="150"/>
      <c r="E140" s="54">
        <v>259320</v>
      </c>
      <c r="F140" s="54">
        <v>0</v>
      </c>
      <c r="G140" s="54">
        <f>F140</f>
        <v>0</v>
      </c>
      <c r="H140" s="54"/>
      <c r="I140" s="54"/>
      <c r="J140" s="54"/>
      <c r="K140" s="54"/>
      <c r="L140" s="54"/>
      <c r="M140" s="54"/>
      <c r="N140" s="54"/>
      <c r="O140" s="54"/>
      <c r="P140" s="54"/>
      <c r="Q140" s="35"/>
    </row>
    <row r="141" spans="1:17" ht="23.25" hidden="1" customHeight="1" x14ac:dyDescent="0.4">
      <c r="A141" s="399"/>
      <c r="B141" s="54" t="s">
        <v>348</v>
      </c>
      <c r="C141" s="149" t="s">
        <v>349</v>
      </c>
      <c r="D141" s="150"/>
      <c r="E141" s="54">
        <v>16620</v>
      </c>
      <c r="F141" s="54">
        <v>0</v>
      </c>
      <c r="G141" s="54">
        <f>F141</f>
        <v>0</v>
      </c>
      <c r="H141" s="54"/>
      <c r="I141" s="54"/>
      <c r="J141" s="54"/>
      <c r="K141" s="54"/>
      <c r="L141" s="54"/>
      <c r="M141" s="54"/>
      <c r="N141" s="54"/>
      <c r="O141" s="54"/>
      <c r="P141" s="54"/>
      <c r="Q141" s="35"/>
    </row>
    <row r="142" spans="1:17" ht="23.25" hidden="1" customHeight="1" x14ac:dyDescent="0.4">
      <c r="A142" s="399"/>
      <c r="B142" s="54" t="s">
        <v>350</v>
      </c>
      <c r="C142" s="149" t="s">
        <v>351</v>
      </c>
      <c r="D142" s="150"/>
      <c r="E142" s="54">
        <v>124650</v>
      </c>
      <c r="F142" s="54">
        <v>0</v>
      </c>
      <c r="G142" s="54">
        <f>F142</f>
        <v>0</v>
      </c>
      <c r="H142" s="54"/>
      <c r="I142" s="54"/>
      <c r="J142" s="54"/>
      <c r="K142" s="54"/>
      <c r="L142" s="54"/>
      <c r="M142" s="54"/>
      <c r="N142" s="54"/>
      <c r="O142" s="54"/>
      <c r="P142" s="54"/>
      <c r="Q142" s="35"/>
    </row>
    <row r="143" spans="1:17" ht="23.25" hidden="1" customHeight="1" x14ac:dyDescent="0.4">
      <c r="A143" s="399"/>
      <c r="B143" s="146" t="s">
        <v>352</v>
      </c>
      <c r="C143" s="147" t="s">
        <v>353</v>
      </c>
      <c r="D143" s="148"/>
      <c r="E143" s="146">
        <f>E144+E145</f>
        <v>221291</v>
      </c>
      <c r="F143" s="146">
        <f>F144+F145</f>
        <v>0</v>
      </c>
      <c r="G143" s="146">
        <f>G144+G145</f>
        <v>0</v>
      </c>
      <c r="H143" s="146"/>
      <c r="I143" s="146"/>
      <c r="J143" s="146"/>
      <c r="K143" s="146"/>
      <c r="L143" s="146"/>
      <c r="M143" s="146"/>
      <c r="N143" s="146"/>
      <c r="O143" s="146"/>
      <c r="P143" s="146"/>
      <c r="Q143" s="35"/>
    </row>
    <row r="144" spans="1:17" ht="23.25" hidden="1" customHeight="1" x14ac:dyDescent="0.4">
      <c r="A144" s="399"/>
      <c r="B144" s="54" t="s">
        <v>354</v>
      </c>
      <c r="C144" s="149" t="s">
        <v>355</v>
      </c>
      <c r="D144" s="150"/>
      <c r="E144" s="54">
        <v>137291</v>
      </c>
      <c r="F144" s="54">
        <v>0</v>
      </c>
      <c r="G144" s="54">
        <f>F144</f>
        <v>0</v>
      </c>
      <c r="H144" s="54"/>
      <c r="I144" s="54"/>
      <c r="J144" s="54"/>
      <c r="K144" s="54"/>
      <c r="L144" s="54"/>
      <c r="M144" s="54"/>
      <c r="N144" s="54"/>
      <c r="O144" s="54"/>
      <c r="P144" s="54"/>
      <c r="Q144" s="35"/>
    </row>
    <row r="145" spans="1:786" ht="23.25" hidden="1" customHeight="1" x14ac:dyDescent="0.4">
      <c r="A145" s="399"/>
      <c r="B145" s="54" t="s">
        <v>356</v>
      </c>
      <c r="C145" s="149" t="s">
        <v>357</v>
      </c>
      <c r="D145" s="150"/>
      <c r="E145" s="54">
        <v>84000</v>
      </c>
      <c r="F145" s="54">
        <v>0</v>
      </c>
      <c r="G145" s="54">
        <f>F145</f>
        <v>0</v>
      </c>
      <c r="H145" s="54"/>
      <c r="I145" s="54"/>
      <c r="J145" s="54"/>
      <c r="K145" s="54"/>
      <c r="L145" s="54"/>
      <c r="M145" s="54"/>
      <c r="N145" s="54"/>
      <c r="O145" s="54"/>
      <c r="P145" s="54"/>
      <c r="Q145" s="35"/>
    </row>
    <row r="146" spans="1:786" ht="23.25" hidden="1" customHeight="1" x14ac:dyDescent="0.4">
      <c r="A146" s="399"/>
      <c r="B146" s="146" t="s">
        <v>358</v>
      </c>
      <c r="C146" s="147" t="s">
        <v>359</v>
      </c>
      <c r="D146" s="148"/>
      <c r="E146" s="146">
        <f>E147+E148+E149</f>
        <v>1173103</v>
      </c>
      <c r="F146" s="146">
        <f>F147+F148+F149</f>
        <v>0</v>
      </c>
      <c r="G146" s="146">
        <f>G147+G148+G149</f>
        <v>0</v>
      </c>
      <c r="H146" s="146"/>
      <c r="I146" s="146"/>
      <c r="J146" s="146"/>
      <c r="K146" s="146"/>
      <c r="L146" s="146"/>
      <c r="M146" s="146"/>
      <c r="N146" s="146"/>
      <c r="O146" s="146"/>
      <c r="P146" s="146"/>
      <c r="Q146" s="35"/>
    </row>
    <row r="147" spans="1:786" ht="49.5" hidden="1" customHeight="1" x14ac:dyDescent="0.4">
      <c r="A147" s="399"/>
      <c r="B147" s="54" t="s">
        <v>360</v>
      </c>
      <c r="C147" s="149" t="s">
        <v>361</v>
      </c>
      <c r="D147" s="150"/>
      <c r="E147" s="54">
        <v>992838</v>
      </c>
      <c r="F147" s="54">
        <v>0</v>
      </c>
      <c r="G147" s="54">
        <f>F147</f>
        <v>0</v>
      </c>
      <c r="H147" s="54"/>
      <c r="I147" s="54"/>
      <c r="J147" s="54"/>
      <c r="K147" s="54"/>
      <c r="L147" s="54"/>
      <c r="M147" s="54"/>
      <c r="N147" s="54"/>
      <c r="O147" s="54"/>
      <c r="P147" s="54"/>
      <c r="Q147" s="35"/>
    </row>
    <row r="148" spans="1:786" ht="23.25" hidden="1" customHeight="1" x14ac:dyDescent="0.4">
      <c r="A148" s="399"/>
      <c r="B148" s="54" t="s">
        <v>362</v>
      </c>
      <c r="C148" s="149" t="s">
        <v>363</v>
      </c>
      <c r="D148" s="150"/>
      <c r="E148" s="54">
        <v>24500</v>
      </c>
      <c r="F148" s="54">
        <v>0</v>
      </c>
      <c r="G148" s="54">
        <f>F148</f>
        <v>0</v>
      </c>
      <c r="H148" s="54"/>
      <c r="I148" s="54"/>
      <c r="J148" s="54"/>
      <c r="K148" s="54"/>
      <c r="L148" s="54"/>
      <c r="M148" s="54"/>
      <c r="N148" s="54"/>
      <c r="O148" s="54"/>
      <c r="P148" s="54"/>
      <c r="Q148" s="35"/>
    </row>
    <row r="149" spans="1:786" ht="45" hidden="1" customHeight="1" x14ac:dyDescent="0.4">
      <c r="A149" s="399"/>
      <c r="B149" s="54" t="s">
        <v>364</v>
      </c>
      <c r="C149" s="149" t="s">
        <v>365</v>
      </c>
      <c r="D149" s="150"/>
      <c r="E149" s="54">
        <v>155765</v>
      </c>
      <c r="F149" s="54">
        <v>0</v>
      </c>
      <c r="G149" s="54">
        <f>F149</f>
        <v>0</v>
      </c>
      <c r="H149" s="54"/>
      <c r="I149" s="54"/>
      <c r="J149" s="54"/>
      <c r="K149" s="54"/>
      <c r="L149" s="54"/>
      <c r="M149" s="54"/>
      <c r="N149" s="54"/>
      <c r="O149" s="54"/>
      <c r="P149" s="54"/>
      <c r="Q149" s="35"/>
    </row>
    <row r="150" spans="1:786" ht="34.5" customHeight="1" x14ac:dyDescent="0.4">
      <c r="A150" s="406" t="s">
        <v>366</v>
      </c>
      <c r="B150" s="407"/>
      <c r="C150" s="407"/>
      <c r="D150" s="407"/>
      <c r="E150" s="407"/>
      <c r="F150" s="407"/>
      <c r="G150" s="407"/>
      <c r="H150" s="407"/>
      <c r="I150" s="407"/>
      <c r="J150" s="407"/>
      <c r="K150" s="407"/>
      <c r="L150" s="407"/>
      <c r="M150" s="407"/>
      <c r="N150" s="407"/>
      <c r="O150" s="407"/>
      <c r="P150" s="407"/>
      <c r="Q150" s="35"/>
    </row>
    <row r="151" spans="1:786" s="17" customFormat="1" ht="66" x14ac:dyDescent="0.4">
      <c r="A151" s="151" t="s">
        <v>367</v>
      </c>
      <c r="B151" s="120" t="s">
        <v>368</v>
      </c>
      <c r="C151" s="152" t="s">
        <v>369</v>
      </c>
      <c r="D151" s="90">
        <v>2240</v>
      </c>
      <c r="E151" s="83">
        <v>12292579</v>
      </c>
      <c r="F151" s="83">
        <v>12292579</v>
      </c>
      <c r="G151" s="83">
        <v>6728295.5</v>
      </c>
      <c r="H151" s="83">
        <f>F151-G151</f>
        <v>5564283.5</v>
      </c>
      <c r="I151" s="83">
        <v>11897764</v>
      </c>
      <c r="J151" s="88" t="s">
        <v>370</v>
      </c>
      <c r="K151" s="85">
        <v>11897764</v>
      </c>
      <c r="L151" s="85">
        <v>0</v>
      </c>
      <c r="M151" s="85">
        <v>0</v>
      </c>
      <c r="N151" s="88"/>
      <c r="O151" s="83">
        <v>11897764</v>
      </c>
      <c r="P151" s="88" t="s">
        <v>371</v>
      </c>
      <c r="Q151" s="35"/>
    </row>
    <row r="152" spans="1:786" s="156" customFormat="1" ht="39.75" customHeight="1" x14ac:dyDescent="0.4">
      <c r="A152" s="153"/>
      <c r="B152" s="139"/>
      <c r="C152" s="154" t="s">
        <v>112</v>
      </c>
      <c r="D152" s="155"/>
      <c r="E152" s="139">
        <f>E151</f>
        <v>12292579</v>
      </c>
      <c r="F152" s="139">
        <f>F151</f>
        <v>12292579</v>
      </c>
      <c r="G152" s="139">
        <f t="shared" ref="G152:O152" si="17">G151</f>
        <v>6728295.5</v>
      </c>
      <c r="H152" s="139">
        <f t="shared" si="17"/>
        <v>5564283.5</v>
      </c>
      <c r="I152" s="139">
        <f t="shared" si="17"/>
        <v>11897764</v>
      </c>
      <c r="J152" s="139"/>
      <c r="K152" s="139">
        <f t="shared" si="17"/>
        <v>11897764</v>
      </c>
      <c r="L152" s="139">
        <f t="shared" si="17"/>
        <v>0</v>
      </c>
      <c r="M152" s="139">
        <f t="shared" si="17"/>
        <v>0</v>
      </c>
      <c r="N152" s="139"/>
      <c r="O152" s="139">
        <f t="shared" si="17"/>
        <v>11897764</v>
      </c>
      <c r="P152" s="139"/>
      <c r="Q152" s="35"/>
      <c r="R152" s="32"/>
      <c r="S152" s="32"/>
      <c r="T152" s="32"/>
      <c r="U152" s="32"/>
      <c r="V152" s="32"/>
      <c r="W152" s="32"/>
      <c r="X152" s="32"/>
      <c r="Y152" s="32"/>
      <c r="Z152" s="32"/>
      <c r="AA152" s="32"/>
      <c r="AB152" s="32"/>
      <c r="AC152" s="32"/>
      <c r="AD152" s="32"/>
      <c r="AE152" s="32"/>
      <c r="AF152" s="32"/>
      <c r="AG152" s="32"/>
      <c r="AH152" s="32"/>
      <c r="AI152" s="32"/>
      <c r="AJ152" s="32"/>
      <c r="AK152" s="32"/>
      <c r="AL152" s="32"/>
      <c r="AM152" s="32"/>
      <c r="AN152" s="32"/>
      <c r="AO152" s="32"/>
      <c r="AP152" s="32"/>
      <c r="AQ152" s="32"/>
      <c r="AR152" s="32"/>
      <c r="AS152" s="32"/>
      <c r="AT152" s="32"/>
      <c r="AU152" s="32"/>
      <c r="AV152" s="32"/>
      <c r="AW152" s="32"/>
      <c r="AX152" s="32"/>
      <c r="AY152" s="32"/>
      <c r="AZ152" s="32"/>
      <c r="BA152" s="32"/>
      <c r="BB152" s="32"/>
      <c r="BC152" s="32"/>
      <c r="BD152" s="32"/>
      <c r="BE152" s="32"/>
      <c r="BF152" s="32"/>
      <c r="BG152" s="32"/>
      <c r="BH152" s="32"/>
      <c r="BI152" s="32"/>
      <c r="BJ152" s="32"/>
      <c r="BK152" s="32"/>
      <c r="BL152" s="32"/>
      <c r="BM152" s="32"/>
      <c r="BN152" s="32"/>
      <c r="BO152" s="32"/>
      <c r="BP152" s="32"/>
      <c r="BQ152" s="32"/>
      <c r="BR152" s="32"/>
      <c r="BS152" s="32"/>
      <c r="BT152" s="32"/>
      <c r="BU152" s="32"/>
      <c r="BV152" s="32"/>
      <c r="BW152" s="32"/>
      <c r="BX152" s="32"/>
      <c r="BY152" s="32"/>
      <c r="BZ152" s="32"/>
      <c r="CA152" s="32"/>
      <c r="CB152" s="32"/>
      <c r="CC152" s="32"/>
      <c r="CD152" s="32"/>
      <c r="CE152" s="32"/>
      <c r="CF152" s="32"/>
      <c r="CG152" s="32"/>
      <c r="CH152" s="32"/>
      <c r="CI152" s="32"/>
      <c r="CJ152" s="32"/>
      <c r="CK152" s="32"/>
      <c r="CL152" s="32"/>
      <c r="CM152" s="32"/>
      <c r="CN152" s="32"/>
      <c r="CO152" s="32"/>
      <c r="CP152" s="32"/>
      <c r="CQ152" s="32"/>
      <c r="CR152" s="32"/>
      <c r="CS152" s="32"/>
      <c r="CT152" s="32"/>
      <c r="CU152" s="32"/>
      <c r="CV152" s="32"/>
      <c r="CW152" s="32"/>
      <c r="CX152" s="32"/>
      <c r="CY152" s="32"/>
      <c r="CZ152" s="32"/>
      <c r="DA152" s="32"/>
      <c r="DB152" s="32"/>
      <c r="DC152" s="32"/>
      <c r="DD152" s="32"/>
      <c r="DE152" s="32"/>
      <c r="DF152" s="32"/>
      <c r="DG152" s="32"/>
      <c r="DH152" s="32"/>
      <c r="DI152" s="32"/>
      <c r="DJ152" s="32"/>
      <c r="DK152" s="32"/>
      <c r="DL152" s="32"/>
      <c r="DM152" s="32"/>
      <c r="DN152" s="32"/>
      <c r="DO152" s="32"/>
      <c r="DP152" s="32"/>
      <c r="DQ152" s="32"/>
      <c r="DR152" s="32"/>
      <c r="DS152" s="32"/>
      <c r="DT152" s="32"/>
      <c r="DU152" s="32"/>
      <c r="DV152" s="32"/>
      <c r="DW152" s="32"/>
      <c r="DX152" s="32"/>
      <c r="DY152" s="32"/>
      <c r="DZ152" s="32"/>
      <c r="EA152" s="32"/>
      <c r="EB152" s="32"/>
      <c r="EC152" s="32"/>
      <c r="ED152" s="32"/>
      <c r="EE152" s="32"/>
      <c r="EF152" s="32"/>
      <c r="EG152" s="32"/>
      <c r="EH152" s="32"/>
      <c r="EI152" s="32"/>
      <c r="EJ152" s="32"/>
      <c r="EK152" s="32"/>
      <c r="EL152" s="32"/>
      <c r="EM152" s="32"/>
      <c r="EN152" s="32"/>
      <c r="EO152" s="32"/>
      <c r="EP152" s="32"/>
      <c r="EQ152" s="32"/>
      <c r="ER152" s="32"/>
      <c r="ES152" s="32"/>
      <c r="ET152" s="32"/>
      <c r="EU152" s="32"/>
      <c r="EV152" s="32"/>
      <c r="EW152" s="32"/>
      <c r="EX152" s="32"/>
      <c r="EY152" s="32"/>
      <c r="EZ152" s="32"/>
      <c r="FA152" s="32"/>
      <c r="FB152" s="32"/>
      <c r="FC152" s="32"/>
      <c r="FD152" s="32"/>
      <c r="FE152" s="32"/>
      <c r="FF152" s="32"/>
      <c r="FG152" s="32"/>
      <c r="FH152" s="32"/>
      <c r="FI152" s="32"/>
      <c r="FJ152" s="32"/>
      <c r="FK152" s="32"/>
      <c r="FL152" s="32"/>
      <c r="FM152" s="32"/>
      <c r="FN152" s="32"/>
      <c r="FO152" s="32"/>
      <c r="FP152" s="32"/>
      <c r="FQ152" s="32"/>
      <c r="FR152" s="32"/>
      <c r="FS152" s="32"/>
      <c r="FT152" s="32"/>
      <c r="FU152" s="32"/>
      <c r="FV152" s="32"/>
      <c r="FW152" s="32"/>
      <c r="FX152" s="32"/>
      <c r="FY152" s="32"/>
      <c r="FZ152" s="32"/>
      <c r="GA152" s="32"/>
      <c r="GB152" s="32"/>
      <c r="GC152" s="32"/>
      <c r="GD152" s="32"/>
      <c r="GE152" s="32"/>
      <c r="GF152" s="32"/>
      <c r="GG152" s="32"/>
      <c r="GH152" s="32"/>
      <c r="GI152" s="32"/>
      <c r="GJ152" s="32"/>
      <c r="GK152" s="32"/>
      <c r="GL152" s="32"/>
      <c r="GM152" s="32"/>
      <c r="GN152" s="32"/>
      <c r="GO152" s="32"/>
      <c r="GP152" s="32"/>
      <c r="GQ152" s="32"/>
      <c r="GR152" s="32"/>
      <c r="GS152" s="32"/>
      <c r="GT152" s="32"/>
      <c r="GU152" s="32"/>
      <c r="GV152" s="32"/>
      <c r="GW152" s="32"/>
      <c r="GX152" s="32"/>
      <c r="GY152" s="32"/>
      <c r="GZ152" s="32"/>
      <c r="HA152" s="32"/>
      <c r="HB152" s="32"/>
      <c r="HC152" s="32"/>
      <c r="HD152" s="32"/>
      <c r="HE152" s="32"/>
      <c r="HF152" s="32"/>
      <c r="HG152" s="32"/>
      <c r="HH152" s="32"/>
      <c r="HI152" s="32"/>
      <c r="HJ152" s="32"/>
      <c r="HK152" s="32"/>
      <c r="HL152" s="32"/>
      <c r="HM152" s="32"/>
      <c r="HN152" s="32"/>
      <c r="HO152" s="32"/>
      <c r="HP152" s="32"/>
      <c r="HQ152" s="32"/>
      <c r="HR152" s="32"/>
      <c r="HS152" s="32"/>
      <c r="HT152" s="32"/>
      <c r="HU152" s="32"/>
      <c r="HV152" s="32"/>
      <c r="HW152" s="32"/>
      <c r="HX152" s="32"/>
      <c r="HY152" s="32"/>
      <c r="HZ152" s="32"/>
      <c r="IA152" s="32"/>
      <c r="IB152" s="32"/>
      <c r="IC152" s="32"/>
      <c r="ID152" s="32"/>
      <c r="IE152" s="32"/>
      <c r="IF152" s="32"/>
      <c r="IG152" s="32"/>
      <c r="IH152" s="32"/>
      <c r="II152" s="32"/>
      <c r="IJ152" s="32"/>
      <c r="IK152" s="32"/>
      <c r="IL152" s="32"/>
      <c r="IM152" s="32"/>
      <c r="IN152" s="32"/>
      <c r="IO152" s="32"/>
      <c r="IP152" s="32"/>
      <c r="IQ152" s="32"/>
      <c r="IR152" s="32"/>
      <c r="IS152" s="32"/>
      <c r="IT152" s="32"/>
      <c r="IU152" s="32"/>
      <c r="IV152" s="32"/>
      <c r="IW152" s="32"/>
      <c r="IX152" s="32"/>
      <c r="IY152" s="32"/>
      <c r="IZ152" s="32"/>
      <c r="JA152" s="32"/>
      <c r="JB152" s="32"/>
      <c r="JC152" s="32"/>
      <c r="JD152" s="32"/>
      <c r="JE152" s="32"/>
      <c r="JF152" s="32"/>
      <c r="JG152" s="32"/>
      <c r="JH152" s="32"/>
      <c r="JI152" s="32"/>
      <c r="JJ152" s="32"/>
      <c r="JK152" s="32"/>
      <c r="JL152" s="32"/>
      <c r="JM152" s="32"/>
      <c r="JN152" s="32"/>
      <c r="JO152" s="32"/>
      <c r="JP152" s="32"/>
      <c r="JQ152" s="32"/>
      <c r="JR152" s="32"/>
      <c r="JS152" s="32"/>
      <c r="JT152" s="32"/>
      <c r="JU152" s="32"/>
      <c r="JV152" s="32"/>
      <c r="JW152" s="32"/>
      <c r="JX152" s="32"/>
      <c r="JY152" s="32"/>
      <c r="JZ152" s="32"/>
      <c r="KA152" s="32"/>
      <c r="KB152" s="32"/>
      <c r="KC152" s="32"/>
      <c r="KD152" s="32"/>
      <c r="KE152" s="32"/>
      <c r="KF152" s="32"/>
      <c r="KG152" s="32"/>
      <c r="KH152" s="32"/>
      <c r="KI152" s="32"/>
      <c r="KJ152" s="32"/>
      <c r="KK152" s="32"/>
      <c r="KL152" s="32"/>
      <c r="KM152" s="32"/>
      <c r="KN152" s="32"/>
      <c r="KO152" s="32"/>
      <c r="KP152" s="32"/>
      <c r="KQ152" s="32"/>
      <c r="KR152" s="32"/>
      <c r="KS152" s="32"/>
      <c r="KT152" s="32"/>
      <c r="KU152" s="32"/>
      <c r="KV152" s="32"/>
      <c r="KW152" s="32"/>
      <c r="KX152" s="32"/>
      <c r="KY152" s="32"/>
      <c r="KZ152" s="32"/>
      <c r="LA152" s="32"/>
      <c r="LB152" s="32"/>
      <c r="LC152" s="32"/>
      <c r="LD152" s="32"/>
      <c r="LE152" s="32"/>
      <c r="LF152" s="32"/>
      <c r="LG152" s="32"/>
      <c r="LH152" s="32"/>
      <c r="LI152" s="32"/>
      <c r="LJ152" s="32"/>
      <c r="LK152" s="32"/>
      <c r="LL152" s="32"/>
      <c r="LM152" s="32"/>
      <c r="LN152" s="32"/>
      <c r="LO152" s="32"/>
      <c r="LP152" s="32"/>
      <c r="LQ152" s="32"/>
      <c r="LR152" s="32"/>
      <c r="LS152" s="32"/>
      <c r="LT152" s="32"/>
      <c r="LU152" s="32"/>
      <c r="LV152" s="32"/>
      <c r="LW152" s="32"/>
      <c r="LX152" s="32"/>
      <c r="LY152" s="32"/>
      <c r="LZ152" s="32"/>
      <c r="MA152" s="32"/>
      <c r="MB152" s="32"/>
      <c r="MC152" s="32"/>
      <c r="MD152" s="32"/>
      <c r="ME152" s="32"/>
      <c r="MF152" s="32"/>
      <c r="MG152" s="32"/>
      <c r="MH152" s="32"/>
      <c r="MI152" s="32"/>
      <c r="MJ152" s="32"/>
      <c r="MK152" s="32"/>
      <c r="ML152" s="32"/>
      <c r="MM152" s="32"/>
      <c r="MN152" s="32"/>
      <c r="MO152" s="32"/>
      <c r="MP152" s="32"/>
      <c r="MQ152" s="32"/>
      <c r="MR152" s="32"/>
      <c r="MS152" s="32"/>
      <c r="MT152" s="32"/>
      <c r="MU152" s="32"/>
      <c r="MV152" s="32"/>
      <c r="MW152" s="32"/>
      <c r="MX152" s="32"/>
      <c r="MY152" s="32"/>
      <c r="MZ152" s="32"/>
      <c r="NA152" s="32"/>
      <c r="NB152" s="32"/>
      <c r="NC152" s="32"/>
      <c r="ND152" s="32"/>
      <c r="NE152" s="32"/>
      <c r="NF152" s="32"/>
      <c r="NG152" s="32"/>
      <c r="NH152" s="32"/>
      <c r="NI152" s="32"/>
      <c r="NJ152" s="32"/>
      <c r="NK152" s="32"/>
      <c r="NL152" s="32"/>
      <c r="NM152" s="32"/>
      <c r="NN152" s="32"/>
      <c r="NO152" s="32"/>
      <c r="NP152" s="32"/>
      <c r="NQ152" s="32"/>
      <c r="NR152" s="32"/>
      <c r="NS152" s="32"/>
      <c r="NT152" s="32"/>
      <c r="NU152" s="32"/>
      <c r="NV152" s="32"/>
      <c r="NW152" s="32"/>
      <c r="NX152" s="32"/>
      <c r="NY152" s="32"/>
      <c r="NZ152" s="32"/>
      <c r="OA152" s="32"/>
      <c r="OB152" s="32"/>
      <c r="OC152" s="32"/>
      <c r="OD152" s="32"/>
      <c r="OE152" s="32"/>
      <c r="OF152" s="32"/>
      <c r="OG152" s="32"/>
      <c r="OH152" s="32"/>
      <c r="OI152" s="32"/>
      <c r="OJ152" s="32"/>
      <c r="OK152" s="32"/>
      <c r="OL152" s="32"/>
      <c r="OM152" s="32"/>
      <c r="ON152" s="32"/>
      <c r="OO152" s="32"/>
      <c r="OP152" s="32"/>
      <c r="OQ152" s="32"/>
      <c r="OR152" s="32"/>
      <c r="OS152" s="32"/>
      <c r="OT152" s="32"/>
      <c r="OU152" s="32"/>
      <c r="OV152" s="32"/>
      <c r="OW152" s="32"/>
      <c r="OX152" s="32"/>
      <c r="OY152" s="32"/>
      <c r="OZ152" s="32"/>
      <c r="PA152" s="32"/>
      <c r="PB152" s="32"/>
      <c r="PC152" s="32"/>
      <c r="PD152" s="32"/>
      <c r="PE152" s="32"/>
      <c r="PF152" s="32"/>
      <c r="PG152" s="32"/>
      <c r="PH152" s="32"/>
      <c r="PI152" s="32"/>
      <c r="PJ152" s="32"/>
      <c r="PK152" s="32"/>
      <c r="PL152" s="32"/>
      <c r="PM152" s="32"/>
      <c r="PN152" s="32"/>
      <c r="PO152" s="32"/>
      <c r="PP152" s="32"/>
      <c r="PQ152" s="32"/>
      <c r="PR152" s="32"/>
      <c r="PS152" s="32"/>
      <c r="PT152" s="32"/>
      <c r="PU152" s="32"/>
      <c r="PV152" s="32"/>
      <c r="PW152" s="32"/>
      <c r="PX152" s="32"/>
      <c r="PY152" s="32"/>
      <c r="PZ152" s="32"/>
      <c r="QA152" s="32"/>
      <c r="QB152" s="32"/>
      <c r="QC152" s="32"/>
      <c r="QD152" s="32"/>
      <c r="QE152" s="32"/>
      <c r="QF152" s="32"/>
      <c r="QG152" s="32"/>
      <c r="QH152" s="32"/>
      <c r="QI152" s="32"/>
      <c r="QJ152" s="32"/>
      <c r="QK152" s="32"/>
      <c r="QL152" s="32"/>
      <c r="QM152" s="32"/>
      <c r="QN152" s="32"/>
      <c r="QO152" s="32"/>
      <c r="QP152" s="32"/>
      <c r="QQ152" s="32"/>
      <c r="QR152" s="32"/>
      <c r="QS152" s="32"/>
      <c r="QT152" s="32"/>
      <c r="QU152" s="32"/>
      <c r="QV152" s="32"/>
      <c r="QW152" s="32"/>
      <c r="QX152" s="32"/>
      <c r="QY152" s="32"/>
      <c r="QZ152" s="32"/>
      <c r="RA152" s="32"/>
      <c r="RB152" s="32"/>
      <c r="RC152" s="32"/>
      <c r="RD152" s="32"/>
      <c r="RE152" s="32"/>
      <c r="RF152" s="32"/>
      <c r="RG152" s="32"/>
      <c r="RH152" s="32"/>
      <c r="RI152" s="32"/>
      <c r="RJ152" s="32"/>
      <c r="RK152" s="32"/>
      <c r="RL152" s="32"/>
      <c r="RM152" s="32"/>
      <c r="RN152" s="32"/>
      <c r="RO152" s="32"/>
      <c r="RP152" s="32"/>
      <c r="RQ152" s="32"/>
      <c r="RR152" s="32"/>
      <c r="RS152" s="32"/>
      <c r="RT152" s="32"/>
      <c r="RU152" s="32"/>
      <c r="RV152" s="32"/>
      <c r="RW152" s="32"/>
      <c r="RX152" s="32"/>
      <c r="RY152" s="32"/>
      <c r="RZ152" s="32"/>
      <c r="SA152" s="32"/>
      <c r="SB152" s="32"/>
      <c r="SC152" s="32"/>
      <c r="SD152" s="32"/>
      <c r="SE152" s="32"/>
      <c r="SF152" s="32"/>
      <c r="SG152" s="32"/>
      <c r="SH152" s="32"/>
      <c r="SI152" s="32"/>
      <c r="SJ152" s="32"/>
      <c r="SK152" s="32"/>
      <c r="SL152" s="32"/>
      <c r="SM152" s="32"/>
      <c r="SN152" s="32"/>
      <c r="SO152" s="32"/>
      <c r="SP152" s="32"/>
      <c r="SQ152" s="32"/>
      <c r="SR152" s="32"/>
      <c r="SS152" s="32"/>
      <c r="ST152" s="32"/>
      <c r="SU152" s="32"/>
      <c r="SV152" s="32"/>
      <c r="SW152" s="32"/>
      <c r="SX152" s="32"/>
      <c r="SY152" s="32"/>
      <c r="SZ152" s="32"/>
      <c r="TA152" s="32"/>
      <c r="TB152" s="32"/>
      <c r="TC152" s="32"/>
      <c r="TD152" s="32"/>
      <c r="TE152" s="32"/>
      <c r="TF152" s="32"/>
      <c r="TG152" s="32"/>
      <c r="TH152" s="32"/>
      <c r="TI152" s="32"/>
      <c r="TJ152" s="32"/>
      <c r="TK152" s="32"/>
      <c r="TL152" s="32"/>
      <c r="TM152" s="32"/>
      <c r="TN152" s="32"/>
      <c r="TO152" s="32"/>
      <c r="TP152" s="32"/>
      <c r="TQ152" s="32"/>
      <c r="TR152" s="32"/>
      <c r="TS152" s="32"/>
      <c r="TT152" s="32"/>
      <c r="TU152" s="32"/>
      <c r="TV152" s="32"/>
      <c r="TW152" s="32"/>
      <c r="TX152" s="32"/>
      <c r="TY152" s="32"/>
      <c r="TZ152" s="32"/>
      <c r="UA152" s="32"/>
      <c r="UB152" s="32"/>
      <c r="UC152" s="32"/>
      <c r="UD152" s="32"/>
      <c r="UE152" s="32"/>
      <c r="UF152" s="32"/>
      <c r="UG152" s="32"/>
      <c r="UH152" s="32"/>
      <c r="UI152" s="32"/>
      <c r="UJ152" s="32"/>
      <c r="UK152" s="32"/>
      <c r="UL152" s="32"/>
      <c r="UM152" s="32"/>
      <c r="UN152" s="32"/>
      <c r="UO152" s="32"/>
      <c r="UP152" s="32"/>
      <c r="UQ152" s="32"/>
      <c r="UR152" s="32"/>
      <c r="US152" s="32"/>
      <c r="UT152" s="32"/>
      <c r="UU152" s="32"/>
      <c r="UV152" s="32"/>
      <c r="UW152" s="32"/>
      <c r="UX152" s="32"/>
      <c r="UY152" s="32"/>
      <c r="UZ152" s="32"/>
      <c r="VA152" s="32"/>
      <c r="VB152" s="32"/>
      <c r="VC152" s="32"/>
      <c r="VD152" s="32"/>
      <c r="VE152" s="32"/>
      <c r="VF152" s="32"/>
      <c r="VG152" s="32"/>
      <c r="VH152" s="32"/>
      <c r="VI152" s="32"/>
      <c r="VJ152" s="32"/>
      <c r="VK152" s="32"/>
      <c r="VL152" s="32"/>
      <c r="VM152" s="32"/>
      <c r="VN152" s="32"/>
      <c r="VO152" s="32"/>
      <c r="VP152" s="32"/>
      <c r="VQ152" s="32"/>
      <c r="VR152" s="32"/>
      <c r="VS152" s="32"/>
      <c r="VT152" s="32"/>
      <c r="VU152" s="32"/>
      <c r="VV152" s="32"/>
      <c r="VW152" s="32"/>
      <c r="VX152" s="32"/>
      <c r="VY152" s="32"/>
      <c r="VZ152" s="32"/>
      <c r="WA152" s="32"/>
      <c r="WB152" s="32"/>
      <c r="WC152" s="32"/>
      <c r="WD152" s="32"/>
      <c r="WE152" s="32"/>
      <c r="WF152" s="32"/>
      <c r="WG152" s="32"/>
      <c r="WH152" s="32"/>
      <c r="WI152" s="32"/>
      <c r="WJ152" s="32"/>
      <c r="WK152" s="32"/>
      <c r="WL152" s="32"/>
      <c r="WM152" s="32"/>
      <c r="WN152" s="32"/>
      <c r="WO152" s="32"/>
      <c r="WP152" s="32"/>
      <c r="WQ152" s="32"/>
      <c r="WR152" s="32"/>
      <c r="WS152" s="32"/>
      <c r="WT152" s="32"/>
      <c r="WU152" s="32"/>
      <c r="WV152" s="32"/>
      <c r="WW152" s="32"/>
      <c r="WX152" s="32"/>
      <c r="WY152" s="32"/>
      <c r="WZ152" s="32"/>
      <c r="XA152" s="32"/>
      <c r="XB152" s="32"/>
      <c r="XC152" s="32"/>
      <c r="XD152" s="32"/>
      <c r="XE152" s="32"/>
      <c r="XF152" s="32"/>
      <c r="XG152" s="32"/>
      <c r="XH152" s="32"/>
      <c r="XI152" s="32"/>
      <c r="XJ152" s="32"/>
      <c r="XK152" s="32"/>
      <c r="XL152" s="32"/>
      <c r="XM152" s="32"/>
      <c r="XN152" s="32"/>
      <c r="XO152" s="32"/>
      <c r="XP152" s="32"/>
      <c r="XQ152" s="32"/>
      <c r="XR152" s="32"/>
      <c r="XS152" s="32"/>
      <c r="XT152" s="32"/>
      <c r="XU152" s="32"/>
      <c r="XV152" s="32"/>
      <c r="XW152" s="32"/>
      <c r="XX152" s="32"/>
      <c r="XY152" s="32"/>
      <c r="XZ152" s="32"/>
      <c r="YA152" s="32"/>
      <c r="YB152" s="32"/>
      <c r="YC152" s="32"/>
      <c r="YD152" s="32"/>
      <c r="YE152" s="32"/>
      <c r="YF152" s="32"/>
      <c r="YG152" s="32"/>
      <c r="YH152" s="32"/>
      <c r="YI152" s="32"/>
      <c r="YJ152" s="32"/>
      <c r="YK152" s="32"/>
      <c r="YL152" s="32"/>
      <c r="YM152" s="32"/>
      <c r="YN152" s="32"/>
      <c r="YO152" s="32"/>
      <c r="YP152" s="32"/>
      <c r="YQ152" s="32"/>
      <c r="YR152" s="32"/>
      <c r="YS152" s="32"/>
      <c r="YT152" s="32"/>
      <c r="YU152" s="32"/>
      <c r="YV152" s="32"/>
      <c r="YW152" s="32"/>
      <c r="YX152" s="32"/>
      <c r="YY152" s="32"/>
      <c r="YZ152" s="32"/>
      <c r="ZA152" s="32"/>
      <c r="ZB152" s="32"/>
      <c r="ZC152" s="32"/>
      <c r="ZD152" s="32"/>
      <c r="ZE152" s="32"/>
      <c r="ZF152" s="32"/>
      <c r="ZG152" s="32"/>
      <c r="ZH152" s="32"/>
      <c r="ZI152" s="32"/>
      <c r="ZJ152" s="32"/>
      <c r="ZK152" s="32"/>
      <c r="ZL152" s="32"/>
      <c r="ZM152" s="32"/>
      <c r="ZN152" s="32"/>
      <c r="ZO152" s="32"/>
      <c r="ZP152" s="32"/>
      <c r="ZQ152" s="32"/>
      <c r="ZR152" s="32"/>
      <c r="ZS152" s="32"/>
      <c r="ZT152" s="32"/>
      <c r="ZU152" s="32"/>
      <c r="ZV152" s="32"/>
      <c r="ZW152" s="32"/>
      <c r="ZX152" s="32"/>
      <c r="ZY152" s="32"/>
      <c r="ZZ152" s="32"/>
      <c r="AAA152" s="32"/>
      <c r="AAB152" s="32"/>
      <c r="AAC152" s="32"/>
      <c r="AAD152" s="32"/>
      <c r="AAE152" s="32"/>
      <c r="AAF152" s="32"/>
      <c r="AAG152" s="32"/>
      <c r="AAH152" s="32"/>
      <c r="AAI152" s="32"/>
      <c r="AAJ152" s="32"/>
      <c r="AAK152" s="32"/>
      <c r="AAL152" s="32"/>
      <c r="AAM152" s="32"/>
      <c r="AAN152" s="32"/>
      <c r="AAO152" s="32"/>
      <c r="AAP152" s="32"/>
      <c r="AAQ152" s="32"/>
      <c r="AAR152" s="32"/>
      <c r="AAS152" s="32"/>
      <c r="AAT152" s="32"/>
      <c r="AAU152" s="32"/>
      <c r="AAV152" s="32"/>
      <c r="AAW152" s="32"/>
      <c r="AAX152" s="32"/>
      <c r="AAY152" s="32"/>
      <c r="AAZ152" s="32"/>
      <c r="ABA152" s="32"/>
      <c r="ABB152" s="32"/>
      <c r="ABC152" s="32"/>
      <c r="ABD152" s="32"/>
      <c r="ABE152" s="32"/>
      <c r="ABF152" s="32"/>
      <c r="ABG152" s="32"/>
      <c r="ABH152" s="32"/>
      <c r="ABI152" s="32"/>
      <c r="ABJ152" s="32"/>
      <c r="ABK152" s="32"/>
      <c r="ABL152" s="32"/>
      <c r="ABM152" s="32"/>
      <c r="ABN152" s="32"/>
      <c r="ABO152" s="32"/>
      <c r="ABP152" s="32"/>
      <c r="ABQ152" s="32"/>
      <c r="ABR152" s="32"/>
      <c r="ABS152" s="32"/>
      <c r="ABT152" s="32"/>
      <c r="ABU152" s="32"/>
      <c r="ABV152" s="32"/>
      <c r="ABW152" s="32"/>
      <c r="ABX152" s="32"/>
      <c r="ABY152" s="32"/>
      <c r="ABZ152" s="32"/>
      <c r="ACA152" s="32"/>
      <c r="ACB152" s="32"/>
      <c r="ACC152" s="32"/>
      <c r="ACD152" s="32"/>
      <c r="ACE152" s="32"/>
      <c r="ACF152" s="32"/>
      <c r="ACG152" s="32"/>
      <c r="ACH152" s="32"/>
      <c r="ACI152" s="32"/>
      <c r="ACJ152" s="32"/>
      <c r="ACK152" s="32"/>
      <c r="ACL152" s="32"/>
      <c r="ACM152" s="32"/>
      <c r="ACN152" s="32"/>
      <c r="ACO152" s="32"/>
      <c r="ACP152" s="32"/>
      <c r="ACQ152" s="32"/>
      <c r="ACR152" s="32"/>
      <c r="ACS152" s="32"/>
      <c r="ACT152" s="32"/>
      <c r="ACU152" s="32"/>
      <c r="ACV152" s="32"/>
      <c r="ACW152" s="32"/>
      <c r="ACX152" s="32"/>
      <c r="ACY152" s="32"/>
      <c r="ACZ152" s="32"/>
      <c r="ADA152" s="32"/>
      <c r="ADB152" s="32"/>
      <c r="ADC152" s="32"/>
      <c r="ADD152" s="32"/>
      <c r="ADE152" s="32"/>
      <c r="ADF152" s="32"/>
    </row>
    <row r="153" spans="1:786" ht="57" customHeight="1" x14ac:dyDescent="0.4">
      <c r="A153" s="421" t="s">
        <v>372</v>
      </c>
      <c r="B153" s="422"/>
      <c r="C153" s="422"/>
      <c r="D153" s="422"/>
      <c r="E153" s="422"/>
      <c r="F153" s="422"/>
      <c r="G153" s="422"/>
      <c r="H153" s="422"/>
      <c r="I153" s="422"/>
      <c r="J153" s="422"/>
      <c r="K153" s="422"/>
      <c r="L153" s="422"/>
      <c r="M153" s="422"/>
      <c r="N153" s="422"/>
      <c r="O153" s="422"/>
      <c r="P153" s="422"/>
      <c r="Q153" s="35"/>
    </row>
    <row r="154" spans="1:786" ht="107.25" customHeight="1" x14ac:dyDescent="0.4">
      <c r="A154" s="423" t="s">
        <v>373</v>
      </c>
      <c r="B154" s="103" t="s">
        <v>374</v>
      </c>
      <c r="C154" s="128" t="s">
        <v>375</v>
      </c>
      <c r="D154" s="150">
        <v>2610</v>
      </c>
      <c r="E154" s="54">
        <v>39600</v>
      </c>
      <c r="F154" s="54">
        <v>39600</v>
      </c>
      <c r="G154" s="54">
        <v>17200</v>
      </c>
      <c r="H154" s="54">
        <f>F154-G154</f>
        <v>22400</v>
      </c>
      <c r="I154" s="54">
        <v>59600</v>
      </c>
      <c r="J154" s="54"/>
      <c r="K154" s="54">
        <f>59600+51380</f>
        <v>110980</v>
      </c>
      <c r="L154" s="54">
        <v>124742</v>
      </c>
      <c r="M154" s="54">
        <v>134472</v>
      </c>
      <c r="N154" s="157"/>
      <c r="O154" s="54">
        <v>59600</v>
      </c>
      <c r="P154" s="54"/>
      <c r="Q154" s="35"/>
    </row>
    <row r="155" spans="1:786" ht="111.75" customHeight="1" x14ac:dyDescent="0.4">
      <c r="A155" s="424"/>
      <c r="B155" s="103" t="s">
        <v>376</v>
      </c>
      <c r="C155" s="128" t="s">
        <v>377</v>
      </c>
      <c r="D155" s="150">
        <v>2610</v>
      </c>
      <c r="E155" s="54">
        <v>159600</v>
      </c>
      <c r="F155" s="54">
        <v>159600</v>
      </c>
      <c r="G155" s="136">
        <v>72000</v>
      </c>
      <c r="H155" s="136">
        <f>F155-G155</f>
        <v>87600</v>
      </c>
      <c r="I155" s="136">
        <v>159600</v>
      </c>
      <c r="J155" s="136"/>
      <c r="K155" s="136">
        <f>160128+83468+7428+66700+38253</f>
        <v>355977</v>
      </c>
      <c r="L155" s="54">
        <v>273114</v>
      </c>
      <c r="M155" s="54">
        <v>293871</v>
      </c>
      <c r="N155" s="157"/>
      <c r="O155" s="54">
        <v>160128</v>
      </c>
      <c r="P155" s="54"/>
      <c r="Q155" s="35"/>
    </row>
    <row r="156" spans="1:786" ht="72.75" customHeight="1" x14ac:dyDescent="0.4">
      <c r="A156" s="425"/>
      <c r="B156" s="103" t="s">
        <v>378</v>
      </c>
      <c r="C156" s="140" t="s">
        <v>379</v>
      </c>
      <c r="D156" s="150">
        <v>2610</v>
      </c>
      <c r="E156" s="54">
        <v>0</v>
      </c>
      <c r="F156" s="54">
        <v>0</v>
      </c>
      <c r="G156" s="54">
        <v>0</v>
      </c>
      <c r="H156" s="54">
        <v>0</v>
      </c>
      <c r="I156" s="54">
        <v>6000</v>
      </c>
      <c r="J156" s="54"/>
      <c r="K156" s="136">
        <f>53200+6000</f>
        <v>59200</v>
      </c>
      <c r="L156" s="136">
        <f>66541-5101</f>
        <v>61440</v>
      </c>
      <c r="M156" s="136">
        <f>71731-65731</f>
        <v>6000</v>
      </c>
      <c r="N156" s="157"/>
      <c r="O156" s="136">
        <f>53200+6000</f>
        <v>59200</v>
      </c>
      <c r="P156" s="54"/>
      <c r="Q156" s="35"/>
    </row>
    <row r="157" spans="1:786" s="161" customFormat="1" ht="39.75" customHeight="1" x14ac:dyDescent="0.4">
      <c r="A157" s="158"/>
      <c r="B157" s="158"/>
      <c r="C157" s="159" t="s">
        <v>112</v>
      </c>
      <c r="D157" s="155"/>
      <c r="E157" s="139">
        <f>E154+E155+E156</f>
        <v>199200</v>
      </c>
      <c r="F157" s="139">
        <f>F154+F155+F156</f>
        <v>199200</v>
      </c>
      <c r="G157" s="139">
        <f>G154+G155+G156</f>
        <v>89200</v>
      </c>
      <c r="H157" s="139">
        <f>H154+H155+H156</f>
        <v>110000</v>
      </c>
      <c r="I157" s="139">
        <f>I154+I155+I156</f>
        <v>225200</v>
      </c>
      <c r="J157" s="139"/>
      <c r="K157" s="139">
        <f>K154+K155+K156</f>
        <v>526157</v>
      </c>
      <c r="L157" s="139">
        <f>L154+L155+L156</f>
        <v>459296</v>
      </c>
      <c r="M157" s="139">
        <f>M154+M155+M156</f>
        <v>434343</v>
      </c>
      <c r="N157" s="139"/>
      <c r="O157" s="139">
        <f>O154+O155+O156</f>
        <v>278928</v>
      </c>
      <c r="P157" s="139"/>
      <c r="Q157" s="35"/>
      <c r="R157" s="160"/>
      <c r="S157" s="160"/>
      <c r="T157" s="160"/>
      <c r="U157" s="160"/>
      <c r="V157" s="160"/>
      <c r="W157" s="160"/>
      <c r="X157" s="160"/>
      <c r="Y157" s="160"/>
      <c r="Z157" s="160"/>
      <c r="AA157" s="160"/>
      <c r="AB157" s="160"/>
      <c r="AC157" s="160"/>
      <c r="AD157" s="160"/>
      <c r="AE157" s="160"/>
      <c r="AF157" s="160"/>
      <c r="AG157" s="160"/>
      <c r="AH157" s="160"/>
      <c r="AI157" s="160"/>
      <c r="AJ157" s="160"/>
      <c r="AK157" s="160"/>
      <c r="AL157" s="160"/>
      <c r="AM157" s="160"/>
      <c r="AN157" s="160"/>
      <c r="AO157" s="160"/>
      <c r="AP157" s="160"/>
      <c r="AQ157" s="160"/>
      <c r="AR157" s="160"/>
      <c r="AS157" s="160"/>
      <c r="AT157" s="160"/>
      <c r="AU157" s="160"/>
      <c r="AV157" s="160"/>
      <c r="AW157" s="160"/>
      <c r="AX157" s="160"/>
      <c r="AY157" s="160"/>
      <c r="AZ157" s="160"/>
      <c r="BA157" s="160"/>
      <c r="BB157" s="160"/>
      <c r="BC157" s="160"/>
      <c r="BD157" s="160"/>
      <c r="BE157" s="160"/>
      <c r="BF157" s="160"/>
      <c r="BG157" s="160"/>
      <c r="BH157" s="160"/>
      <c r="BI157" s="160"/>
      <c r="BJ157" s="160"/>
      <c r="BK157" s="160"/>
      <c r="BL157" s="160"/>
      <c r="BM157" s="160"/>
      <c r="BN157" s="160"/>
      <c r="BO157" s="160"/>
      <c r="BP157" s="160"/>
      <c r="BQ157" s="160"/>
      <c r="BR157" s="160"/>
      <c r="BS157" s="160"/>
      <c r="BT157" s="160"/>
      <c r="BU157" s="160"/>
      <c r="BV157" s="160"/>
      <c r="BW157" s="160"/>
      <c r="BX157" s="160"/>
      <c r="BY157" s="160"/>
      <c r="BZ157" s="160"/>
      <c r="CA157" s="160"/>
      <c r="CB157" s="160"/>
      <c r="CC157" s="160"/>
      <c r="CD157" s="160"/>
      <c r="CE157" s="160"/>
      <c r="CF157" s="160"/>
      <c r="CG157" s="160"/>
      <c r="CH157" s="160"/>
      <c r="CI157" s="160"/>
      <c r="CJ157" s="160"/>
      <c r="CK157" s="160"/>
      <c r="CL157" s="160"/>
      <c r="CM157" s="160"/>
      <c r="CN157" s="160"/>
      <c r="CO157" s="160"/>
      <c r="CP157" s="160"/>
      <c r="CQ157" s="160"/>
      <c r="CR157" s="160"/>
      <c r="CS157" s="160"/>
      <c r="CT157" s="160"/>
      <c r="CU157" s="160"/>
      <c r="CV157" s="160"/>
      <c r="CW157" s="160"/>
      <c r="CX157" s="160"/>
      <c r="CY157" s="160"/>
      <c r="CZ157" s="160"/>
      <c r="DA157" s="160"/>
      <c r="DB157" s="160"/>
      <c r="DC157" s="160"/>
      <c r="DD157" s="160"/>
      <c r="DE157" s="160"/>
      <c r="DF157" s="160"/>
      <c r="DG157" s="160"/>
      <c r="DH157" s="160"/>
      <c r="DI157" s="160"/>
      <c r="DJ157" s="160"/>
      <c r="DK157" s="160"/>
      <c r="DL157" s="160"/>
      <c r="DM157" s="160"/>
      <c r="DN157" s="160"/>
      <c r="DO157" s="160"/>
      <c r="DP157" s="160"/>
      <c r="DQ157" s="160"/>
      <c r="DR157" s="160"/>
      <c r="DS157" s="160"/>
      <c r="DT157" s="160"/>
      <c r="DU157" s="160"/>
      <c r="DV157" s="160"/>
      <c r="DW157" s="160"/>
      <c r="DX157" s="160"/>
      <c r="DY157" s="160"/>
      <c r="DZ157" s="160"/>
      <c r="EA157" s="160"/>
      <c r="EB157" s="160"/>
      <c r="EC157" s="160"/>
      <c r="ED157" s="160"/>
      <c r="EE157" s="160"/>
      <c r="EF157" s="160"/>
      <c r="EG157" s="160"/>
      <c r="EH157" s="160"/>
      <c r="EI157" s="160"/>
      <c r="EJ157" s="160"/>
      <c r="EK157" s="160"/>
      <c r="EL157" s="160"/>
      <c r="EM157" s="160"/>
      <c r="EN157" s="160"/>
      <c r="EO157" s="160"/>
      <c r="EP157" s="160"/>
      <c r="EQ157" s="160"/>
      <c r="ER157" s="160"/>
      <c r="ES157" s="160"/>
      <c r="ET157" s="160"/>
      <c r="EU157" s="160"/>
      <c r="EV157" s="160"/>
      <c r="EW157" s="160"/>
      <c r="EX157" s="160"/>
      <c r="EY157" s="160"/>
      <c r="EZ157" s="160"/>
      <c r="FA157" s="160"/>
      <c r="FB157" s="160"/>
      <c r="FC157" s="160"/>
      <c r="FD157" s="160"/>
      <c r="FE157" s="160"/>
      <c r="FF157" s="160"/>
      <c r="FG157" s="160"/>
      <c r="FH157" s="160"/>
      <c r="FI157" s="160"/>
      <c r="FJ157" s="160"/>
      <c r="FK157" s="160"/>
      <c r="FL157" s="160"/>
      <c r="FM157" s="160"/>
      <c r="FN157" s="160"/>
      <c r="FO157" s="160"/>
      <c r="FP157" s="160"/>
      <c r="FQ157" s="160"/>
      <c r="FR157" s="160"/>
      <c r="FS157" s="160"/>
      <c r="FT157" s="160"/>
      <c r="FU157" s="160"/>
      <c r="FV157" s="160"/>
      <c r="FW157" s="160"/>
      <c r="FX157" s="160"/>
      <c r="FY157" s="160"/>
      <c r="FZ157" s="160"/>
      <c r="GA157" s="160"/>
      <c r="GB157" s="160"/>
      <c r="GC157" s="160"/>
      <c r="GD157" s="160"/>
      <c r="GE157" s="160"/>
      <c r="GF157" s="160"/>
      <c r="GG157" s="160"/>
      <c r="GH157" s="160"/>
      <c r="GI157" s="160"/>
      <c r="GJ157" s="160"/>
      <c r="GK157" s="160"/>
      <c r="GL157" s="160"/>
      <c r="GM157" s="160"/>
      <c r="GN157" s="160"/>
      <c r="GO157" s="160"/>
      <c r="GP157" s="160"/>
      <c r="GQ157" s="160"/>
      <c r="GR157" s="160"/>
      <c r="GS157" s="160"/>
      <c r="GT157" s="160"/>
      <c r="GU157" s="160"/>
      <c r="GV157" s="160"/>
      <c r="GW157" s="160"/>
      <c r="GX157" s="160"/>
      <c r="GY157" s="160"/>
      <c r="GZ157" s="160"/>
      <c r="HA157" s="160"/>
      <c r="HB157" s="160"/>
      <c r="HC157" s="160"/>
      <c r="HD157" s="160"/>
      <c r="HE157" s="160"/>
      <c r="HF157" s="160"/>
      <c r="HG157" s="160"/>
      <c r="HH157" s="160"/>
      <c r="HI157" s="160"/>
      <c r="HJ157" s="160"/>
      <c r="HK157" s="160"/>
      <c r="HL157" s="160"/>
      <c r="HM157" s="160"/>
      <c r="HN157" s="160"/>
      <c r="HO157" s="160"/>
      <c r="HP157" s="160"/>
      <c r="HQ157" s="160"/>
      <c r="HR157" s="160"/>
      <c r="HS157" s="160"/>
      <c r="HT157" s="160"/>
      <c r="HU157" s="160"/>
      <c r="HV157" s="160"/>
      <c r="HW157" s="160"/>
      <c r="HX157" s="160"/>
      <c r="HY157" s="160"/>
      <c r="HZ157" s="160"/>
      <c r="IA157" s="160"/>
      <c r="IB157" s="160"/>
      <c r="IC157" s="160"/>
      <c r="ID157" s="160"/>
      <c r="IE157" s="160"/>
      <c r="IF157" s="160"/>
      <c r="IG157" s="160"/>
      <c r="IH157" s="160"/>
      <c r="II157" s="160"/>
      <c r="IJ157" s="160"/>
      <c r="IK157" s="160"/>
      <c r="IL157" s="160"/>
      <c r="IM157" s="160"/>
      <c r="IN157" s="160"/>
      <c r="IO157" s="160"/>
      <c r="IP157" s="160"/>
      <c r="IQ157" s="160"/>
      <c r="IR157" s="160"/>
      <c r="IS157" s="160"/>
      <c r="IT157" s="160"/>
      <c r="IU157" s="160"/>
      <c r="IV157" s="160"/>
      <c r="IW157" s="160"/>
      <c r="IX157" s="160"/>
      <c r="IY157" s="160"/>
      <c r="IZ157" s="160"/>
      <c r="JA157" s="160"/>
      <c r="JB157" s="160"/>
      <c r="JC157" s="160"/>
      <c r="JD157" s="160"/>
      <c r="JE157" s="160"/>
      <c r="JF157" s="160"/>
      <c r="JG157" s="160"/>
      <c r="JH157" s="160"/>
      <c r="JI157" s="160"/>
      <c r="JJ157" s="160"/>
      <c r="JK157" s="160"/>
      <c r="JL157" s="160"/>
      <c r="JM157" s="160"/>
      <c r="JN157" s="160"/>
      <c r="JO157" s="160"/>
      <c r="JP157" s="160"/>
      <c r="JQ157" s="160"/>
      <c r="JR157" s="160"/>
      <c r="JS157" s="160"/>
      <c r="JT157" s="160"/>
      <c r="JU157" s="160"/>
      <c r="JV157" s="160"/>
      <c r="JW157" s="160"/>
      <c r="JX157" s="160"/>
      <c r="JY157" s="160"/>
      <c r="JZ157" s="160"/>
      <c r="KA157" s="160"/>
      <c r="KB157" s="160"/>
      <c r="KC157" s="160"/>
      <c r="KD157" s="160"/>
      <c r="KE157" s="160"/>
      <c r="KF157" s="160"/>
      <c r="KG157" s="160"/>
      <c r="KH157" s="160"/>
      <c r="KI157" s="160"/>
      <c r="KJ157" s="160"/>
      <c r="KK157" s="160"/>
      <c r="KL157" s="160"/>
      <c r="KM157" s="160"/>
      <c r="KN157" s="160"/>
      <c r="KO157" s="160"/>
      <c r="KP157" s="160"/>
      <c r="KQ157" s="160"/>
      <c r="KR157" s="160"/>
      <c r="KS157" s="160"/>
      <c r="KT157" s="160"/>
      <c r="KU157" s="160"/>
      <c r="KV157" s="160"/>
      <c r="KW157" s="160"/>
      <c r="KX157" s="160"/>
      <c r="KY157" s="160"/>
      <c r="KZ157" s="160"/>
      <c r="LA157" s="160"/>
      <c r="LB157" s="160"/>
      <c r="LC157" s="160"/>
      <c r="LD157" s="160"/>
      <c r="LE157" s="160"/>
      <c r="LF157" s="160"/>
      <c r="LG157" s="160"/>
      <c r="LH157" s="160"/>
      <c r="LI157" s="160"/>
      <c r="LJ157" s="160"/>
      <c r="LK157" s="160"/>
      <c r="LL157" s="160"/>
      <c r="LM157" s="160"/>
      <c r="LN157" s="160"/>
      <c r="LO157" s="160"/>
      <c r="LP157" s="160"/>
      <c r="LQ157" s="160"/>
      <c r="LR157" s="160"/>
      <c r="LS157" s="160"/>
      <c r="LT157" s="160"/>
      <c r="LU157" s="160"/>
      <c r="LV157" s="160"/>
      <c r="LW157" s="160"/>
      <c r="LX157" s="160"/>
      <c r="LY157" s="160"/>
      <c r="LZ157" s="160"/>
      <c r="MA157" s="160"/>
      <c r="MB157" s="160"/>
      <c r="MC157" s="160"/>
      <c r="MD157" s="160"/>
      <c r="ME157" s="160"/>
      <c r="MF157" s="160"/>
      <c r="MG157" s="160"/>
      <c r="MH157" s="160"/>
      <c r="MI157" s="160"/>
      <c r="MJ157" s="160"/>
      <c r="MK157" s="160"/>
      <c r="ML157" s="160"/>
      <c r="MM157" s="160"/>
      <c r="MN157" s="160"/>
      <c r="MO157" s="160"/>
      <c r="MP157" s="160"/>
      <c r="MQ157" s="160"/>
      <c r="MR157" s="160"/>
      <c r="MS157" s="160"/>
      <c r="MT157" s="160"/>
      <c r="MU157" s="160"/>
      <c r="MV157" s="160"/>
      <c r="MW157" s="160"/>
      <c r="MX157" s="160"/>
      <c r="MY157" s="160"/>
      <c r="MZ157" s="160"/>
      <c r="NA157" s="160"/>
      <c r="NB157" s="160"/>
      <c r="NC157" s="160"/>
      <c r="ND157" s="160"/>
      <c r="NE157" s="160"/>
      <c r="NF157" s="160"/>
      <c r="NG157" s="160"/>
      <c r="NH157" s="160"/>
      <c r="NI157" s="160"/>
      <c r="NJ157" s="160"/>
      <c r="NK157" s="160"/>
      <c r="NL157" s="160"/>
      <c r="NM157" s="160"/>
      <c r="NN157" s="160"/>
      <c r="NO157" s="160"/>
      <c r="NP157" s="160"/>
      <c r="NQ157" s="160"/>
      <c r="NR157" s="160"/>
      <c r="NS157" s="160"/>
      <c r="NT157" s="160"/>
      <c r="NU157" s="160"/>
      <c r="NV157" s="160"/>
      <c r="NW157" s="160"/>
      <c r="NX157" s="160"/>
      <c r="NY157" s="160"/>
      <c r="NZ157" s="160"/>
      <c r="OA157" s="160"/>
      <c r="OB157" s="160"/>
      <c r="OC157" s="160"/>
      <c r="OD157" s="160"/>
      <c r="OE157" s="160"/>
      <c r="OF157" s="160"/>
      <c r="OG157" s="160"/>
      <c r="OH157" s="160"/>
      <c r="OI157" s="160"/>
      <c r="OJ157" s="160"/>
      <c r="OK157" s="160"/>
      <c r="OL157" s="160"/>
      <c r="OM157" s="160"/>
      <c r="ON157" s="160"/>
      <c r="OO157" s="160"/>
      <c r="OP157" s="160"/>
      <c r="OQ157" s="160"/>
      <c r="OR157" s="160"/>
      <c r="OS157" s="160"/>
      <c r="OT157" s="160"/>
      <c r="OU157" s="160"/>
      <c r="OV157" s="160"/>
      <c r="OW157" s="160"/>
      <c r="OX157" s="160"/>
      <c r="OY157" s="160"/>
      <c r="OZ157" s="160"/>
      <c r="PA157" s="160"/>
      <c r="PB157" s="160"/>
      <c r="PC157" s="160"/>
      <c r="PD157" s="160"/>
      <c r="PE157" s="160"/>
      <c r="PF157" s="160"/>
      <c r="PG157" s="160"/>
      <c r="PH157" s="160"/>
      <c r="PI157" s="160"/>
      <c r="PJ157" s="160"/>
      <c r="PK157" s="160"/>
      <c r="PL157" s="160"/>
      <c r="PM157" s="160"/>
      <c r="PN157" s="160"/>
      <c r="PO157" s="160"/>
      <c r="PP157" s="160"/>
      <c r="PQ157" s="160"/>
      <c r="PR157" s="160"/>
      <c r="PS157" s="160"/>
      <c r="PT157" s="160"/>
      <c r="PU157" s="160"/>
      <c r="PV157" s="160"/>
      <c r="PW157" s="160"/>
      <c r="PX157" s="160"/>
      <c r="PY157" s="160"/>
      <c r="PZ157" s="160"/>
      <c r="QA157" s="160"/>
      <c r="QB157" s="160"/>
      <c r="QC157" s="160"/>
      <c r="QD157" s="160"/>
      <c r="QE157" s="160"/>
      <c r="QF157" s="160"/>
      <c r="QG157" s="160"/>
      <c r="QH157" s="160"/>
      <c r="QI157" s="160"/>
      <c r="QJ157" s="160"/>
      <c r="QK157" s="160"/>
      <c r="QL157" s="160"/>
      <c r="QM157" s="160"/>
      <c r="QN157" s="160"/>
      <c r="QO157" s="160"/>
      <c r="QP157" s="160"/>
      <c r="QQ157" s="160"/>
      <c r="QR157" s="160"/>
      <c r="QS157" s="160"/>
      <c r="QT157" s="160"/>
      <c r="QU157" s="160"/>
      <c r="QV157" s="160"/>
      <c r="QW157" s="160"/>
      <c r="QX157" s="160"/>
      <c r="QY157" s="160"/>
      <c r="QZ157" s="160"/>
      <c r="RA157" s="160"/>
      <c r="RB157" s="160"/>
      <c r="RC157" s="160"/>
      <c r="RD157" s="160"/>
      <c r="RE157" s="160"/>
      <c r="RF157" s="160"/>
      <c r="RG157" s="160"/>
      <c r="RH157" s="160"/>
      <c r="RI157" s="160"/>
      <c r="RJ157" s="160"/>
      <c r="RK157" s="160"/>
      <c r="RL157" s="160"/>
      <c r="RM157" s="160"/>
      <c r="RN157" s="160"/>
      <c r="RO157" s="160"/>
      <c r="RP157" s="160"/>
      <c r="RQ157" s="160"/>
      <c r="RR157" s="160"/>
      <c r="RS157" s="160"/>
      <c r="RT157" s="160"/>
      <c r="RU157" s="160"/>
      <c r="RV157" s="160"/>
      <c r="RW157" s="160"/>
      <c r="RX157" s="160"/>
      <c r="RY157" s="160"/>
      <c r="RZ157" s="160"/>
      <c r="SA157" s="160"/>
      <c r="SB157" s="160"/>
      <c r="SC157" s="160"/>
      <c r="SD157" s="160"/>
      <c r="SE157" s="160"/>
      <c r="SF157" s="160"/>
      <c r="SG157" s="160"/>
      <c r="SH157" s="160"/>
      <c r="SI157" s="160"/>
      <c r="SJ157" s="160"/>
      <c r="SK157" s="160"/>
      <c r="SL157" s="160"/>
      <c r="SM157" s="160"/>
      <c r="SN157" s="160"/>
      <c r="SO157" s="160"/>
      <c r="SP157" s="160"/>
      <c r="SQ157" s="160"/>
      <c r="SR157" s="160"/>
      <c r="SS157" s="160"/>
      <c r="ST157" s="160"/>
      <c r="SU157" s="160"/>
      <c r="SV157" s="160"/>
      <c r="SW157" s="160"/>
      <c r="SX157" s="160"/>
      <c r="SY157" s="160"/>
      <c r="SZ157" s="160"/>
      <c r="TA157" s="160"/>
      <c r="TB157" s="160"/>
      <c r="TC157" s="160"/>
      <c r="TD157" s="160"/>
      <c r="TE157" s="160"/>
      <c r="TF157" s="160"/>
      <c r="TG157" s="160"/>
      <c r="TH157" s="160"/>
      <c r="TI157" s="160"/>
      <c r="TJ157" s="160"/>
      <c r="TK157" s="160"/>
      <c r="TL157" s="160"/>
      <c r="TM157" s="160"/>
      <c r="TN157" s="160"/>
      <c r="TO157" s="160"/>
      <c r="TP157" s="160"/>
      <c r="TQ157" s="160"/>
      <c r="TR157" s="160"/>
      <c r="TS157" s="160"/>
      <c r="TT157" s="160"/>
      <c r="TU157" s="160"/>
      <c r="TV157" s="160"/>
      <c r="TW157" s="160"/>
      <c r="TX157" s="160"/>
      <c r="TY157" s="160"/>
      <c r="TZ157" s="160"/>
      <c r="UA157" s="160"/>
      <c r="UB157" s="160"/>
      <c r="UC157" s="160"/>
      <c r="UD157" s="160"/>
      <c r="UE157" s="160"/>
      <c r="UF157" s="160"/>
      <c r="UG157" s="160"/>
      <c r="UH157" s="160"/>
      <c r="UI157" s="160"/>
      <c r="UJ157" s="160"/>
      <c r="UK157" s="160"/>
      <c r="UL157" s="160"/>
      <c r="UM157" s="160"/>
      <c r="UN157" s="160"/>
      <c r="UO157" s="160"/>
      <c r="UP157" s="160"/>
      <c r="UQ157" s="160"/>
      <c r="UR157" s="160"/>
      <c r="US157" s="160"/>
      <c r="UT157" s="160"/>
      <c r="UU157" s="160"/>
      <c r="UV157" s="160"/>
      <c r="UW157" s="160"/>
      <c r="UX157" s="160"/>
      <c r="UY157" s="160"/>
      <c r="UZ157" s="160"/>
      <c r="VA157" s="160"/>
      <c r="VB157" s="160"/>
      <c r="VC157" s="160"/>
      <c r="VD157" s="160"/>
      <c r="VE157" s="160"/>
      <c r="VF157" s="160"/>
      <c r="VG157" s="160"/>
      <c r="VH157" s="160"/>
      <c r="VI157" s="160"/>
      <c r="VJ157" s="160"/>
      <c r="VK157" s="160"/>
      <c r="VL157" s="160"/>
      <c r="VM157" s="160"/>
      <c r="VN157" s="160"/>
      <c r="VO157" s="160"/>
      <c r="VP157" s="160"/>
      <c r="VQ157" s="160"/>
      <c r="VR157" s="160"/>
      <c r="VS157" s="160"/>
      <c r="VT157" s="160"/>
      <c r="VU157" s="160"/>
      <c r="VV157" s="160"/>
      <c r="VW157" s="160"/>
      <c r="VX157" s="160"/>
      <c r="VY157" s="160"/>
      <c r="VZ157" s="160"/>
      <c r="WA157" s="160"/>
      <c r="WB157" s="160"/>
      <c r="WC157" s="160"/>
      <c r="WD157" s="160"/>
      <c r="WE157" s="160"/>
      <c r="WF157" s="160"/>
      <c r="WG157" s="160"/>
      <c r="WH157" s="160"/>
      <c r="WI157" s="160"/>
      <c r="WJ157" s="160"/>
      <c r="WK157" s="160"/>
      <c r="WL157" s="160"/>
      <c r="WM157" s="160"/>
      <c r="WN157" s="160"/>
      <c r="WO157" s="160"/>
      <c r="WP157" s="160"/>
      <c r="WQ157" s="160"/>
      <c r="WR157" s="160"/>
      <c r="WS157" s="160"/>
      <c r="WT157" s="160"/>
      <c r="WU157" s="160"/>
      <c r="WV157" s="160"/>
      <c r="WW157" s="160"/>
      <c r="WX157" s="160"/>
      <c r="WY157" s="160"/>
      <c r="WZ157" s="160"/>
      <c r="XA157" s="160"/>
      <c r="XB157" s="160"/>
      <c r="XC157" s="160"/>
      <c r="XD157" s="160"/>
      <c r="XE157" s="160"/>
      <c r="XF157" s="160"/>
      <c r="XG157" s="160"/>
      <c r="XH157" s="160"/>
      <c r="XI157" s="160"/>
      <c r="XJ157" s="160"/>
      <c r="XK157" s="160"/>
      <c r="XL157" s="160"/>
      <c r="XM157" s="160"/>
      <c r="XN157" s="160"/>
      <c r="XO157" s="160"/>
      <c r="XP157" s="160"/>
      <c r="XQ157" s="160"/>
      <c r="XR157" s="160"/>
      <c r="XS157" s="160"/>
      <c r="XT157" s="160"/>
      <c r="XU157" s="160"/>
      <c r="XV157" s="160"/>
      <c r="XW157" s="160"/>
      <c r="XX157" s="160"/>
      <c r="XY157" s="160"/>
      <c r="XZ157" s="160"/>
      <c r="YA157" s="160"/>
      <c r="YB157" s="160"/>
      <c r="YC157" s="160"/>
      <c r="YD157" s="160"/>
      <c r="YE157" s="160"/>
      <c r="YF157" s="160"/>
      <c r="YG157" s="160"/>
      <c r="YH157" s="160"/>
      <c r="YI157" s="160"/>
      <c r="YJ157" s="160"/>
      <c r="YK157" s="160"/>
      <c r="YL157" s="160"/>
      <c r="YM157" s="160"/>
      <c r="YN157" s="160"/>
      <c r="YO157" s="160"/>
      <c r="YP157" s="160"/>
      <c r="YQ157" s="160"/>
      <c r="YR157" s="160"/>
      <c r="YS157" s="160"/>
      <c r="YT157" s="160"/>
      <c r="YU157" s="160"/>
      <c r="YV157" s="160"/>
      <c r="YW157" s="160"/>
      <c r="YX157" s="160"/>
      <c r="YY157" s="160"/>
      <c r="YZ157" s="160"/>
      <c r="ZA157" s="160"/>
      <c r="ZB157" s="160"/>
      <c r="ZC157" s="160"/>
      <c r="ZD157" s="160"/>
      <c r="ZE157" s="160"/>
      <c r="ZF157" s="160"/>
      <c r="ZG157" s="160"/>
      <c r="ZH157" s="160"/>
      <c r="ZI157" s="160"/>
      <c r="ZJ157" s="160"/>
      <c r="ZK157" s="160"/>
      <c r="ZL157" s="160"/>
      <c r="ZM157" s="160"/>
      <c r="ZN157" s="160"/>
      <c r="ZO157" s="160"/>
      <c r="ZP157" s="160"/>
      <c r="ZQ157" s="160"/>
      <c r="ZR157" s="160"/>
      <c r="ZS157" s="160"/>
      <c r="ZT157" s="160"/>
      <c r="ZU157" s="160"/>
      <c r="ZV157" s="160"/>
      <c r="ZW157" s="160"/>
      <c r="ZX157" s="160"/>
      <c r="ZY157" s="160"/>
      <c r="ZZ157" s="160"/>
      <c r="AAA157" s="160"/>
      <c r="AAB157" s="160"/>
      <c r="AAC157" s="160"/>
      <c r="AAD157" s="160"/>
      <c r="AAE157" s="160"/>
      <c r="AAF157" s="160"/>
      <c r="AAG157" s="160"/>
      <c r="AAH157" s="160"/>
      <c r="AAI157" s="160"/>
      <c r="AAJ157" s="160"/>
      <c r="AAK157" s="160"/>
      <c r="AAL157" s="160"/>
      <c r="AAM157" s="160"/>
      <c r="AAN157" s="160"/>
      <c r="AAO157" s="160"/>
      <c r="AAP157" s="160"/>
      <c r="AAQ157" s="160"/>
      <c r="AAR157" s="160"/>
      <c r="AAS157" s="160"/>
      <c r="AAT157" s="160"/>
      <c r="AAU157" s="160"/>
      <c r="AAV157" s="160"/>
      <c r="AAW157" s="160"/>
      <c r="AAX157" s="160"/>
      <c r="AAY157" s="160"/>
      <c r="AAZ157" s="160"/>
      <c r="ABA157" s="160"/>
      <c r="ABB157" s="160"/>
      <c r="ABC157" s="160"/>
      <c r="ABD157" s="160"/>
      <c r="ABE157" s="160"/>
      <c r="ABF157" s="160"/>
      <c r="ABG157" s="160"/>
      <c r="ABH157" s="160"/>
      <c r="ABI157" s="160"/>
      <c r="ABJ157" s="160"/>
      <c r="ABK157" s="160"/>
      <c r="ABL157" s="160"/>
      <c r="ABM157" s="160"/>
      <c r="ABN157" s="160"/>
      <c r="ABO157" s="160"/>
      <c r="ABP157" s="160"/>
      <c r="ABQ157" s="160"/>
      <c r="ABR157" s="160"/>
      <c r="ABS157" s="160"/>
      <c r="ABT157" s="160"/>
      <c r="ABU157" s="160"/>
      <c r="ABV157" s="160"/>
      <c r="ABW157" s="160"/>
      <c r="ABX157" s="160"/>
      <c r="ABY157" s="160"/>
      <c r="ABZ157" s="160"/>
      <c r="ACA157" s="160"/>
      <c r="ACB157" s="160"/>
      <c r="ACC157" s="160"/>
      <c r="ACD157" s="160"/>
      <c r="ACE157" s="160"/>
      <c r="ACF157" s="160"/>
      <c r="ACG157" s="160"/>
      <c r="ACH157" s="160"/>
      <c r="ACI157" s="160"/>
      <c r="ACJ157" s="160"/>
      <c r="ACK157" s="160"/>
      <c r="ACL157" s="160"/>
      <c r="ACM157" s="160"/>
      <c r="ACN157" s="160"/>
      <c r="ACO157" s="160"/>
      <c r="ACP157" s="160"/>
      <c r="ACQ157" s="160"/>
      <c r="ACR157" s="160"/>
      <c r="ACS157" s="160"/>
      <c r="ACT157" s="160"/>
      <c r="ACU157" s="160"/>
      <c r="ACV157" s="160"/>
      <c r="ACW157" s="160"/>
      <c r="ACX157" s="160"/>
      <c r="ACY157" s="160"/>
      <c r="ACZ157" s="160"/>
      <c r="ADA157" s="160"/>
      <c r="ADB157" s="160"/>
      <c r="ADC157" s="160"/>
      <c r="ADD157" s="160"/>
      <c r="ADE157" s="160"/>
      <c r="ADF157" s="160"/>
    </row>
    <row r="158" spans="1:786" ht="57" customHeight="1" x14ac:dyDescent="0.4">
      <c r="A158" s="421" t="s">
        <v>380</v>
      </c>
      <c r="B158" s="422"/>
      <c r="C158" s="422"/>
      <c r="D158" s="422"/>
      <c r="E158" s="422"/>
      <c r="F158" s="422"/>
      <c r="G158" s="422"/>
      <c r="H158" s="422"/>
      <c r="I158" s="422"/>
      <c r="J158" s="422"/>
      <c r="K158" s="422"/>
      <c r="L158" s="422"/>
      <c r="M158" s="422"/>
      <c r="N158" s="422"/>
      <c r="O158" s="422"/>
      <c r="P158" s="422"/>
      <c r="Q158" s="35"/>
    </row>
    <row r="159" spans="1:786" ht="107.25" customHeight="1" x14ac:dyDescent="0.4">
      <c r="A159" s="162">
        <v>11</v>
      </c>
      <c r="B159" s="103" t="s">
        <v>381</v>
      </c>
      <c r="C159" s="128" t="s">
        <v>382</v>
      </c>
      <c r="D159" s="150">
        <v>2610</v>
      </c>
      <c r="E159" s="54">
        <v>0</v>
      </c>
      <c r="F159" s="54">
        <v>535400</v>
      </c>
      <c r="G159" s="54">
        <v>0</v>
      </c>
      <c r="H159" s="54">
        <f>F159-G159</f>
        <v>535400</v>
      </c>
      <c r="I159" s="54">
        <v>59600</v>
      </c>
      <c r="J159" s="54"/>
      <c r="K159" s="54">
        <v>3162021</v>
      </c>
      <c r="L159" s="54">
        <v>0</v>
      </c>
      <c r="M159" s="54">
        <v>0</v>
      </c>
      <c r="N159" s="54"/>
      <c r="O159" s="54">
        <v>59600</v>
      </c>
      <c r="P159" s="54"/>
      <c r="Q159" s="35"/>
      <c r="R159" s="32"/>
      <c r="S159" s="32"/>
      <c r="T159" s="32"/>
    </row>
    <row r="160" spans="1:786" s="32" customFormat="1" ht="39.75" customHeight="1" x14ac:dyDescent="0.4">
      <c r="A160" s="163"/>
      <c r="B160" s="164"/>
      <c r="C160" s="165"/>
      <c r="D160" s="166"/>
      <c r="E160" s="164"/>
      <c r="F160" s="164"/>
      <c r="G160" s="164"/>
      <c r="H160" s="164"/>
      <c r="I160" s="164"/>
      <c r="J160" s="164"/>
      <c r="K160" s="164"/>
      <c r="L160" s="164"/>
      <c r="M160" s="164"/>
      <c r="N160" s="164"/>
      <c r="O160" s="164"/>
      <c r="P160" s="164"/>
      <c r="Q160" s="35"/>
    </row>
    <row r="161" spans="1:786" ht="57" customHeight="1" x14ac:dyDescent="0.4">
      <c r="A161" s="167"/>
      <c r="B161" s="168"/>
      <c r="C161" s="169" t="s">
        <v>383</v>
      </c>
      <c r="D161" s="170"/>
      <c r="E161" s="171">
        <f>E182+E191+E195+E204+E223+E233+E243+E246</f>
        <v>303335118</v>
      </c>
      <c r="F161" s="171">
        <f>F182+F191+F195+F204+F223+F233+F243+F246</f>
        <v>728299310.72000003</v>
      </c>
      <c r="G161" s="171">
        <f>G182+G191+G195+G204+G223+G233+G243+G246</f>
        <v>69962106.140000001</v>
      </c>
      <c r="H161" s="171">
        <f>H182+H191+H223+H233+H195+H204</f>
        <v>650823171.45000005</v>
      </c>
      <c r="I161" s="171" t="e">
        <f>I182+I191+I195+I204+I223+I233+I243+I246+#REF!</f>
        <v>#REF!</v>
      </c>
      <c r="J161" s="171"/>
      <c r="K161" s="171">
        <f>K182+K191+K195+K204+K223+K233+K243+K246+K249+K185</f>
        <v>422502427</v>
      </c>
      <c r="L161" s="171">
        <f>L182+L191+L195+L204+L223+L233+L243+L246+M250+L185</f>
        <v>23574600</v>
      </c>
      <c r="M161" s="171">
        <f>M182+M191+M195+M204+M223+M233+M243+M246+M249+M185</f>
        <v>19691200</v>
      </c>
      <c r="N161" s="171"/>
      <c r="O161" s="171" t="e">
        <f>O182+O191+O195+O204+O223+O233+O243+O246+#REF!</f>
        <v>#REF!</v>
      </c>
      <c r="P161" s="171"/>
      <c r="Q161" s="35"/>
      <c r="R161" s="172">
        <f>129407600</f>
        <v>129407600</v>
      </c>
      <c r="S161" s="32"/>
      <c r="T161" s="32"/>
      <c r="U161" s="32"/>
      <c r="V161" s="32"/>
      <c r="W161" s="32"/>
      <c r="X161" s="32"/>
      <c r="Y161" s="32"/>
      <c r="Z161" s="32"/>
      <c r="AA161" s="32"/>
      <c r="AB161" s="32"/>
      <c r="AC161" s="32"/>
      <c r="AD161" s="32"/>
      <c r="AE161" s="32"/>
      <c r="AF161" s="32"/>
      <c r="AG161" s="32"/>
      <c r="AH161" s="32"/>
      <c r="AI161" s="32"/>
      <c r="AJ161" s="32"/>
      <c r="AK161" s="32"/>
      <c r="AL161" s="32"/>
      <c r="AM161" s="32"/>
      <c r="AN161" s="32"/>
      <c r="AO161" s="32"/>
      <c r="AP161" s="32"/>
      <c r="AQ161" s="32"/>
      <c r="AR161" s="32"/>
      <c r="AS161" s="32"/>
      <c r="AT161" s="32"/>
      <c r="AU161" s="32"/>
      <c r="AV161" s="32"/>
      <c r="AW161" s="32"/>
      <c r="AX161" s="32"/>
      <c r="AY161" s="32"/>
      <c r="AZ161" s="32"/>
      <c r="BA161" s="32"/>
      <c r="BB161" s="32"/>
      <c r="BC161" s="32"/>
      <c r="BD161" s="32"/>
      <c r="BE161" s="32"/>
      <c r="BF161" s="32"/>
      <c r="BG161" s="32"/>
      <c r="BH161" s="32"/>
      <c r="BI161" s="32"/>
      <c r="BJ161" s="32"/>
      <c r="BK161" s="32"/>
      <c r="BL161" s="32"/>
      <c r="BM161" s="32"/>
      <c r="BN161" s="32"/>
      <c r="BO161" s="32"/>
      <c r="BP161" s="32"/>
      <c r="BQ161" s="32"/>
      <c r="BR161" s="32"/>
      <c r="BS161" s="32"/>
      <c r="BT161" s="32"/>
      <c r="BU161" s="32"/>
      <c r="BV161" s="32"/>
      <c r="BW161" s="32"/>
      <c r="BX161" s="32"/>
      <c r="BY161" s="32"/>
      <c r="BZ161" s="32"/>
      <c r="CA161" s="32"/>
      <c r="CB161" s="32"/>
      <c r="CC161" s="32"/>
      <c r="CD161" s="32"/>
      <c r="CE161" s="32"/>
      <c r="CF161" s="32"/>
      <c r="CG161" s="32"/>
      <c r="CH161" s="32"/>
      <c r="CI161" s="32"/>
      <c r="CJ161" s="32"/>
      <c r="CK161" s="32"/>
      <c r="CL161" s="32"/>
      <c r="CM161" s="32"/>
      <c r="CN161" s="32"/>
      <c r="CO161" s="32"/>
      <c r="CP161" s="32"/>
      <c r="CQ161" s="32"/>
      <c r="CR161" s="32"/>
      <c r="CS161" s="32"/>
      <c r="CT161" s="32"/>
      <c r="CU161" s="32"/>
      <c r="CV161" s="32"/>
      <c r="CW161" s="32"/>
      <c r="CX161" s="32"/>
      <c r="CY161" s="32"/>
      <c r="CZ161" s="32"/>
      <c r="DA161" s="32"/>
      <c r="DB161" s="32"/>
      <c r="DC161" s="32"/>
      <c r="DD161" s="32"/>
      <c r="DE161" s="32"/>
      <c r="DF161" s="32"/>
      <c r="DG161" s="32"/>
      <c r="DH161" s="32"/>
      <c r="DI161" s="32"/>
      <c r="DJ161" s="32"/>
      <c r="DK161" s="32"/>
      <c r="DL161" s="32"/>
      <c r="DM161" s="32"/>
      <c r="DN161" s="32"/>
      <c r="DO161" s="32"/>
      <c r="DP161" s="32"/>
      <c r="DQ161" s="32"/>
      <c r="DR161" s="32"/>
      <c r="DS161" s="32"/>
      <c r="DT161" s="32"/>
      <c r="DU161" s="32"/>
      <c r="DV161" s="32"/>
      <c r="DW161" s="32"/>
      <c r="DX161" s="32"/>
      <c r="DY161" s="32"/>
      <c r="DZ161" s="32"/>
      <c r="EA161" s="32"/>
      <c r="EB161" s="32"/>
      <c r="EC161" s="32"/>
      <c r="ED161" s="32"/>
      <c r="EE161" s="32"/>
      <c r="EF161" s="32"/>
      <c r="EG161" s="32"/>
      <c r="EH161" s="32"/>
      <c r="EI161" s="32"/>
      <c r="EJ161" s="32"/>
      <c r="EK161" s="32"/>
      <c r="EL161" s="32"/>
      <c r="EM161" s="32"/>
      <c r="EN161" s="32"/>
      <c r="EO161" s="32"/>
      <c r="EP161" s="32"/>
      <c r="EQ161" s="32"/>
      <c r="ER161" s="32"/>
      <c r="ES161" s="32"/>
      <c r="ET161" s="32"/>
      <c r="EU161" s="32"/>
      <c r="EV161" s="32"/>
      <c r="EW161" s="32"/>
      <c r="EX161" s="32"/>
      <c r="EY161" s="32"/>
      <c r="EZ161" s="32"/>
      <c r="FA161" s="32"/>
      <c r="FB161" s="32"/>
      <c r="FC161" s="32"/>
      <c r="FD161" s="32"/>
      <c r="FE161" s="32"/>
      <c r="FF161" s="32"/>
      <c r="FG161" s="32"/>
      <c r="FH161" s="32"/>
      <c r="FI161" s="32"/>
      <c r="FJ161" s="32"/>
      <c r="FK161" s="32"/>
      <c r="FL161" s="32"/>
      <c r="FM161" s="32"/>
      <c r="FN161" s="32"/>
      <c r="FO161" s="32"/>
      <c r="FP161" s="32"/>
      <c r="FQ161" s="32"/>
      <c r="FR161" s="32"/>
      <c r="FS161" s="32"/>
      <c r="FT161" s="32"/>
      <c r="FU161" s="32"/>
      <c r="FV161" s="32"/>
      <c r="FW161" s="32"/>
      <c r="FX161" s="32"/>
      <c r="FY161" s="32"/>
      <c r="FZ161" s="32"/>
      <c r="GA161" s="32"/>
      <c r="GB161" s="32"/>
      <c r="GC161" s="32"/>
      <c r="GD161" s="32"/>
      <c r="GE161" s="32"/>
      <c r="GF161" s="32"/>
      <c r="GG161" s="32"/>
      <c r="GH161" s="32"/>
      <c r="GI161" s="32"/>
      <c r="GJ161" s="32"/>
      <c r="GK161" s="32"/>
      <c r="GL161" s="32"/>
      <c r="GM161" s="32"/>
      <c r="GN161" s="32"/>
      <c r="GO161" s="32"/>
      <c r="GP161" s="32"/>
      <c r="GQ161" s="32"/>
      <c r="GR161" s="32"/>
      <c r="GS161" s="32"/>
      <c r="GT161" s="32"/>
      <c r="GU161" s="32"/>
      <c r="GV161" s="32"/>
      <c r="GW161" s="32"/>
      <c r="GX161" s="32"/>
      <c r="GY161" s="32"/>
      <c r="GZ161" s="32"/>
      <c r="HA161" s="32"/>
      <c r="HB161" s="32"/>
      <c r="HC161" s="32"/>
      <c r="HD161" s="32"/>
      <c r="HE161" s="32"/>
      <c r="HF161" s="32"/>
      <c r="HG161" s="32"/>
      <c r="HH161" s="32"/>
      <c r="HI161" s="32"/>
      <c r="HJ161" s="32"/>
      <c r="HK161" s="32"/>
      <c r="HL161" s="32"/>
      <c r="HM161" s="32"/>
      <c r="HN161" s="32"/>
      <c r="HO161" s="32"/>
      <c r="HP161" s="32"/>
      <c r="HQ161" s="32"/>
      <c r="HR161" s="32"/>
      <c r="HS161" s="32"/>
      <c r="HT161" s="32"/>
      <c r="HU161" s="32"/>
      <c r="HV161" s="32"/>
      <c r="HW161" s="32"/>
      <c r="HX161" s="32"/>
      <c r="HY161" s="32"/>
      <c r="HZ161" s="32"/>
      <c r="IA161" s="32"/>
      <c r="IB161" s="32"/>
      <c r="IC161" s="32"/>
      <c r="ID161" s="32"/>
      <c r="IE161" s="32"/>
      <c r="IF161" s="32"/>
      <c r="IG161" s="32"/>
      <c r="IH161" s="32"/>
      <c r="II161" s="32"/>
      <c r="IJ161" s="32"/>
      <c r="IK161" s="32"/>
      <c r="IL161" s="32"/>
      <c r="IM161" s="32"/>
      <c r="IN161" s="32"/>
      <c r="IO161" s="32"/>
      <c r="IP161" s="32"/>
      <c r="IQ161" s="32"/>
      <c r="IR161" s="32"/>
      <c r="IS161" s="32"/>
      <c r="IT161" s="32"/>
      <c r="IU161" s="32"/>
      <c r="IV161" s="32"/>
      <c r="IW161" s="32"/>
      <c r="IX161" s="32"/>
      <c r="IY161" s="32"/>
      <c r="IZ161" s="32"/>
      <c r="JA161" s="32"/>
      <c r="JB161" s="32"/>
      <c r="JC161" s="32"/>
      <c r="JD161" s="32"/>
      <c r="JE161" s="32"/>
      <c r="JF161" s="32"/>
      <c r="JG161" s="32"/>
      <c r="JH161" s="32"/>
      <c r="JI161" s="32"/>
      <c r="JJ161" s="32"/>
      <c r="JK161" s="32"/>
      <c r="JL161" s="32"/>
      <c r="JM161" s="32"/>
      <c r="JN161" s="32"/>
      <c r="JO161" s="32"/>
      <c r="JP161" s="32"/>
      <c r="JQ161" s="32"/>
      <c r="JR161" s="32"/>
      <c r="JS161" s="32"/>
      <c r="JT161" s="32"/>
      <c r="JU161" s="32"/>
      <c r="JV161" s="32"/>
      <c r="JW161" s="32"/>
      <c r="JX161" s="32"/>
      <c r="JY161" s="32"/>
      <c r="JZ161" s="32"/>
      <c r="KA161" s="32"/>
      <c r="KB161" s="32"/>
      <c r="KC161" s="32"/>
      <c r="KD161" s="32"/>
      <c r="KE161" s="32"/>
      <c r="KF161" s="32"/>
      <c r="KG161" s="32"/>
      <c r="KH161" s="32"/>
      <c r="KI161" s="32"/>
      <c r="KJ161" s="32"/>
      <c r="KK161" s="32"/>
      <c r="KL161" s="32"/>
      <c r="KM161" s="32"/>
      <c r="KN161" s="32"/>
      <c r="KO161" s="32"/>
      <c r="KP161" s="32"/>
      <c r="KQ161" s="32"/>
      <c r="KR161" s="32"/>
      <c r="KS161" s="32"/>
      <c r="KT161" s="32"/>
      <c r="KU161" s="32"/>
      <c r="KV161" s="32"/>
      <c r="KW161" s="32"/>
      <c r="KX161" s="32"/>
      <c r="KY161" s="32"/>
      <c r="KZ161" s="32"/>
      <c r="LA161" s="32"/>
      <c r="LB161" s="32"/>
      <c r="LC161" s="32"/>
      <c r="LD161" s="32"/>
      <c r="LE161" s="32"/>
      <c r="LF161" s="32"/>
      <c r="LG161" s="32"/>
      <c r="LH161" s="32"/>
      <c r="LI161" s="32"/>
      <c r="LJ161" s="32"/>
      <c r="LK161" s="32"/>
      <c r="LL161" s="32"/>
      <c r="LM161" s="32"/>
      <c r="LN161" s="32"/>
      <c r="LO161" s="32"/>
      <c r="LP161" s="32"/>
      <c r="LQ161" s="32"/>
      <c r="LR161" s="32"/>
      <c r="LS161" s="32"/>
      <c r="LT161" s="32"/>
      <c r="LU161" s="32"/>
      <c r="LV161" s="32"/>
      <c r="LW161" s="32"/>
      <c r="LX161" s="32"/>
      <c r="LY161" s="32"/>
      <c r="LZ161" s="32"/>
      <c r="MA161" s="32"/>
      <c r="MB161" s="32"/>
      <c r="MC161" s="32"/>
      <c r="MD161" s="32"/>
      <c r="ME161" s="32"/>
      <c r="MF161" s="32"/>
      <c r="MG161" s="32"/>
      <c r="MH161" s="32"/>
      <c r="MI161" s="32"/>
      <c r="MJ161" s="32"/>
      <c r="MK161" s="32"/>
      <c r="ML161" s="32"/>
      <c r="MM161" s="32"/>
      <c r="MN161" s="32"/>
      <c r="MO161" s="32"/>
      <c r="MP161" s="32"/>
      <c r="MQ161" s="32"/>
      <c r="MR161" s="32"/>
      <c r="MS161" s="32"/>
      <c r="MT161" s="32"/>
      <c r="MU161" s="32"/>
      <c r="MV161" s="32"/>
      <c r="MW161" s="32"/>
      <c r="MX161" s="32"/>
      <c r="MY161" s="32"/>
      <c r="MZ161" s="32"/>
      <c r="NA161" s="32"/>
      <c r="NB161" s="32"/>
      <c r="NC161" s="32"/>
      <c r="ND161" s="32"/>
      <c r="NE161" s="32"/>
      <c r="NF161" s="32"/>
      <c r="NG161" s="32"/>
      <c r="NH161" s="32"/>
      <c r="NI161" s="32"/>
      <c r="NJ161" s="32"/>
      <c r="NK161" s="32"/>
      <c r="NL161" s="32"/>
      <c r="NM161" s="32"/>
      <c r="NN161" s="32"/>
      <c r="NO161" s="32"/>
      <c r="NP161" s="32"/>
      <c r="NQ161" s="32"/>
      <c r="NR161" s="32"/>
      <c r="NS161" s="32"/>
      <c r="NT161" s="32"/>
      <c r="NU161" s="32"/>
      <c r="NV161" s="32"/>
      <c r="NW161" s="32"/>
      <c r="NX161" s="32"/>
      <c r="NY161" s="32"/>
      <c r="NZ161" s="32"/>
      <c r="OA161" s="32"/>
      <c r="OB161" s="32"/>
      <c r="OC161" s="32"/>
      <c r="OD161" s="32"/>
      <c r="OE161" s="32"/>
      <c r="OF161" s="32"/>
      <c r="OG161" s="32"/>
      <c r="OH161" s="32"/>
      <c r="OI161" s="32"/>
      <c r="OJ161" s="32"/>
      <c r="OK161" s="32"/>
      <c r="OL161" s="32"/>
      <c r="OM161" s="32"/>
      <c r="ON161" s="32"/>
      <c r="OO161" s="32"/>
      <c r="OP161" s="32"/>
      <c r="OQ161" s="32"/>
      <c r="OR161" s="32"/>
      <c r="OS161" s="32"/>
      <c r="OT161" s="32"/>
      <c r="OU161" s="32"/>
      <c r="OV161" s="32"/>
      <c r="OW161" s="32"/>
      <c r="OX161" s="32"/>
      <c r="OY161" s="32"/>
      <c r="OZ161" s="32"/>
      <c r="PA161" s="32"/>
      <c r="PB161" s="32"/>
      <c r="PC161" s="32"/>
      <c r="PD161" s="32"/>
      <c r="PE161" s="32"/>
      <c r="PF161" s="32"/>
      <c r="PG161" s="32"/>
      <c r="PH161" s="32"/>
      <c r="PI161" s="32"/>
      <c r="PJ161" s="32"/>
      <c r="PK161" s="32"/>
      <c r="PL161" s="32"/>
      <c r="PM161" s="32"/>
      <c r="PN161" s="32"/>
      <c r="PO161" s="32"/>
      <c r="PP161" s="32"/>
      <c r="PQ161" s="32"/>
      <c r="PR161" s="32"/>
      <c r="PS161" s="32"/>
      <c r="PT161" s="32"/>
      <c r="PU161" s="32"/>
      <c r="PV161" s="32"/>
      <c r="PW161" s="32"/>
      <c r="PX161" s="32"/>
      <c r="PY161" s="32"/>
      <c r="PZ161" s="32"/>
      <c r="QA161" s="32"/>
      <c r="QB161" s="32"/>
      <c r="QC161" s="32"/>
      <c r="QD161" s="32"/>
      <c r="QE161" s="32"/>
      <c r="QF161" s="32"/>
      <c r="QG161" s="32"/>
      <c r="QH161" s="32"/>
      <c r="QI161" s="32"/>
      <c r="QJ161" s="32"/>
      <c r="QK161" s="32"/>
      <c r="QL161" s="32"/>
      <c r="QM161" s="32"/>
      <c r="QN161" s="32"/>
      <c r="QO161" s="32"/>
      <c r="QP161" s="32"/>
      <c r="QQ161" s="32"/>
      <c r="QR161" s="32"/>
      <c r="QS161" s="32"/>
      <c r="QT161" s="32"/>
      <c r="QU161" s="32"/>
      <c r="QV161" s="32"/>
      <c r="QW161" s="32"/>
      <c r="QX161" s="32"/>
      <c r="QY161" s="32"/>
      <c r="QZ161" s="32"/>
      <c r="RA161" s="32"/>
      <c r="RB161" s="32"/>
      <c r="RC161" s="32"/>
      <c r="RD161" s="32"/>
      <c r="RE161" s="32"/>
      <c r="RF161" s="32"/>
      <c r="RG161" s="32"/>
      <c r="RH161" s="32"/>
      <c r="RI161" s="32"/>
      <c r="RJ161" s="32"/>
      <c r="RK161" s="32"/>
      <c r="RL161" s="32"/>
      <c r="RM161" s="32"/>
      <c r="RN161" s="32"/>
      <c r="RO161" s="32"/>
      <c r="RP161" s="32"/>
      <c r="RQ161" s="32"/>
      <c r="RR161" s="32"/>
      <c r="RS161" s="32"/>
      <c r="RT161" s="32"/>
      <c r="RU161" s="32"/>
      <c r="RV161" s="32"/>
      <c r="RW161" s="32"/>
      <c r="RX161" s="32"/>
      <c r="RY161" s="32"/>
      <c r="RZ161" s="32"/>
      <c r="SA161" s="32"/>
      <c r="SB161" s="32"/>
      <c r="SC161" s="32"/>
      <c r="SD161" s="32"/>
      <c r="SE161" s="32"/>
      <c r="SF161" s="32"/>
      <c r="SG161" s="32"/>
      <c r="SH161" s="32"/>
      <c r="SI161" s="32"/>
      <c r="SJ161" s="32"/>
      <c r="SK161" s="32"/>
      <c r="SL161" s="32"/>
      <c r="SM161" s="32"/>
      <c r="SN161" s="32"/>
      <c r="SO161" s="32"/>
      <c r="SP161" s="32"/>
      <c r="SQ161" s="32"/>
      <c r="SR161" s="32"/>
      <c r="SS161" s="32"/>
      <c r="ST161" s="32"/>
      <c r="SU161" s="32"/>
      <c r="SV161" s="32"/>
      <c r="SW161" s="32"/>
      <c r="SX161" s="32"/>
      <c r="SY161" s="32"/>
      <c r="SZ161" s="32"/>
      <c r="TA161" s="32"/>
      <c r="TB161" s="32"/>
      <c r="TC161" s="32"/>
      <c r="TD161" s="32"/>
      <c r="TE161" s="32"/>
      <c r="TF161" s="32"/>
      <c r="TG161" s="32"/>
      <c r="TH161" s="32"/>
      <c r="TI161" s="32"/>
      <c r="TJ161" s="32"/>
      <c r="TK161" s="32"/>
      <c r="TL161" s="32"/>
      <c r="TM161" s="32"/>
      <c r="TN161" s="32"/>
      <c r="TO161" s="32"/>
      <c r="TP161" s="32"/>
      <c r="TQ161" s="32"/>
      <c r="TR161" s="32"/>
      <c r="TS161" s="32"/>
      <c r="TT161" s="32"/>
      <c r="TU161" s="32"/>
      <c r="TV161" s="32"/>
      <c r="TW161" s="32"/>
      <c r="TX161" s="32"/>
      <c r="TY161" s="32"/>
      <c r="TZ161" s="32"/>
      <c r="UA161" s="32"/>
      <c r="UB161" s="32"/>
      <c r="UC161" s="32"/>
      <c r="UD161" s="32"/>
      <c r="UE161" s="32"/>
      <c r="UF161" s="32"/>
      <c r="UG161" s="32"/>
      <c r="UH161" s="32"/>
      <c r="UI161" s="32"/>
      <c r="UJ161" s="32"/>
      <c r="UK161" s="32"/>
      <c r="UL161" s="32"/>
      <c r="UM161" s="32"/>
      <c r="UN161" s="32"/>
      <c r="UO161" s="32"/>
      <c r="UP161" s="32"/>
      <c r="UQ161" s="32"/>
      <c r="UR161" s="32"/>
      <c r="US161" s="32"/>
      <c r="UT161" s="32"/>
      <c r="UU161" s="32"/>
      <c r="UV161" s="32"/>
      <c r="UW161" s="32"/>
      <c r="UX161" s="32"/>
      <c r="UY161" s="32"/>
      <c r="UZ161" s="32"/>
      <c r="VA161" s="32"/>
      <c r="VB161" s="32"/>
      <c r="VC161" s="32"/>
      <c r="VD161" s="32"/>
      <c r="VE161" s="32"/>
      <c r="VF161" s="32"/>
      <c r="VG161" s="32"/>
      <c r="VH161" s="32"/>
      <c r="VI161" s="32"/>
      <c r="VJ161" s="32"/>
      <c r="VK161" s="32"/>
      <c r="VL161" s="32"/>
      <c r="VM161" s="32"/>
      <c r="VN161" s="32"/>
      <c r="VO161" s="32"/>
      <c r="VP161" s="32"/>
      <c r="VQ161" s="32"/>
      <c r="VR161" s="32"/>
      <c r="VS161" s="32"/>
      <c r="VT161" s="32"/>
      <c r="VU161" s="32"/>
      <c r="VV161" s="32"/>
      <c r="VW161" s="32"/>
      <c r="VX161" s="32"/>
      <c r="VY161" s="32"/>
      <c r="VZ161" s="32"/>
      <c r="WA161" s="32"/>
      <c r="WB161" s="32"/>
      <c r="WC161" s="32"/>
      <c r="WD161" s="32"/>
      <c r="WE161" s="32"/>
      <c r="WF161" s="32"/>
      <c r="WG161" s="32"/>
      <c r="WH161" s="32"/>
      <c r="WI161" s="32"/>
      <c r="WJ161" s="32"/>
      <c r="WK161" s="32"/>
      <c r="WL161" s="32"/>
      <c r="WM161" s="32"/>
      <c r="WN161" s="32"/>
      <c r="WO161" s="32"/>
      <c r="WP161" s="32"/>
      <c r="WQ161" s="32"/>
      <c r="WR161" s="32"/>
      <c r="WS161" s="32"/>
      <c r="WT161" s="32"/>
      <c r="WU161" s="32"/>
      <c r="WV161" s="32"/>
      <c r="WW161" s="32"/>
      <c r="WX161" s="32"/>
      <c r="WY161" s="32"/>
      <c r="WZ161" s="32"/>
      <c r="XA161" s="32"/>
      <c r="XB161" s="32"/>
      <c r="XC161" s="32"/>
      <c r="XD161" s="32"/>
      <c r="XE161" s="32"/>
      <c r="XF161" s="32"/>
      <c r="XG161" s="32"/>
      <c r="XH161" s="32"/>
      <c r="XI161" s="32"/>
      <c r="XJ161" s="32"/>
      <c r="XK161" s="32"/>
      <c r="XL161" s="32"/>
      <c r="XM161" s="32"/>
      <c r="XN161" s="32"/>
      <c r="XO161" s="32"/>
      <c r="XP161" s="32"/>
      <c r="XQ161" s="32"/>
      <c r="XR161" s="32"/>
      <c r="XS161" s="32"/>
      <c r="XT161" s="32"/>
      <c r="XU161" s="32"/>
      <c r="XV161" s="32"/>
      <c r="XW161" s="32"/>
      <c r="XX161" s="32"/>
      <c r="XY161" s="32"/>
      <c r="XZ161" s="32"/>
      <c r="YA161" s="32"/>
      <c r="YB161" s="32"/>
      <c r="YC161" s="32"/>
      <c r="YD161" s="32"/>
      <c r="YE161" s="32"/>
      <c r="YF161" s="32"/>
      <c r="YG161" s="32"/>
      <c r="YH161" s="32"/>
      <c r="YI161" s="32"/>
      <c r="YJ161" s="32"/>
      <c r="YK161" s="32"/>
      <c r="YL161" s="32"/>
      <c r="YM161" s="32"/>
      <c r="YN161" s="32"/>
      <c r="YO161" s="32"/>
      <c r="YP161" s="32"/>
      <c r="YQ161" s="32"/>
      <c r="YR161" s="32"/>
      <c r="YS161" s="32"/>
      <c r="YT161" s="32"/>
      <c r="YU161" s="32"/>
      <c r="YV161" s="32"/>
      <c r="YW161" s="32"/>
      <c r="YX161" s="32"/>
      <c r="YY161" s="32"/>
      <c r="YZ161" s="32"/>
      <c r="ZA161" s="32"/>
      <c r="ZB161" s="32"/>
      <c r="ZC161" s="32"/>
      <c r="ZD161" s="32"/>
      <c r="ZE161" s="32"/>
      <c r="ZF161" s="32"/>
      <c r="ZG161" s="32"/>
      <c r="ZH161" s="32"/>
      <c r="ZI161" s="32"/>
      <c r="ZJ161" s="32"/>
      <c r="ZK161" s="32"/>
      <c r="ZL161" s="32"/>
      <c r="ZM161" s="32"/>
      <c r="ZN161" s="32"/>
      <c r="ZO161" s="32"/>
      <c r="ZP161" s="32"/>
      <c r="ZQ161" s="32"/>
      <c r="ZR161" s="32"/>
      <c r="ZS161" s="32"/>
      <c r="ZT161" s="32"/>
      <c r="ZU161" s="32"/>
      <c r="ZV161" s="32"/>
      <c r="ZW161" s="32"/>
      <c r="ZX161" s="32"/>
      <c r="ZY161" s="32"/>
      <c r="ZZ161" s="32"/>
      <c r="AAA161" s="32"/>
      <c r="AAB161" s="32"/>
      <c r="AAC161" s="32"/>
      <c r="AAD161" s="32"/>
      <c r="AAE161" s="32"/>
      <c r="AAF161" s="32"/>
      <c r="AAG161" s="32"/>
      <c r="AAH161" s="32"/>
      <c r="AAI161" s="32"/>
      <c r="AAJ161" s="32"/>
      <c r="AAK161" s="32"/>
      <c r="AAL161" s="32"/>
      <c r="AAM161" s="32"/>
      <c r="AAN161" s="32"/>
      <c r="AAO161" s="32"/>
      <c r="AAP161" s="32"/>
      <c r="AAQ161" s="32"/>
      <c r="AAR161" s="32"/>
      <c r="AAS161" s="32"/>
      <c r="AAT161" s="32"/>
      <c r="AAU161" s="32"/>
      <c r="AAV161" s="32"/>
      <c r="AAW161" s="32"/>
      <c r="AAX161" s="32"/>
      <c r="AAY161" s="32"/>
      <c r="AAZ161" s="32"/>
      <c r="ABA161" s="32"/>
      <c r="ABB161" s="32"/>
      <c r="ABC161" s="32"/>
      <c r="ABD161" s="32"/>
      <c r="ABE161" s="32"/>
      <c r="ABF161" s="32"/>
      <c r="ABG161" s="32"/>
      <c r="ABH161" s="32"/>
      <c r="ABI161" s="32"/>
      <c r="ABJ161" s="32"/>
      <c r="ABK161" s="32"/>
      <c r="ABL161" s="32"/>
      <c r="ABM161" s="32"/>
      <c r="ABN161" s="32"/>
      <c r="ABO161" s="32"/>
      <c r="ABP161" s="32"/>
      <c r="ABQ161" s="32"/>
      <c r="ABR161" s="32"/>
      <c r="ABS161" s="32"/>
      <c r="ABT161" s="32"/>
      <c r="ABU161" s="32"/>
      <c r="ABV161" s="32"/>
      <c r="ABW161" s="32"/>
      <c r="ABX161" s="32"/>
      <c r="ABY161" s="32"/>
      <c r="ABZ161" s="32"/>
      <c r="ACA161" s="32"/>
      <c r="ACB161" s="32"/>
      <c r="ACC161" s="32"/>
      <c r="ACD161" s="32"/>
      <c r="ACE161" s="32"/>
      <c r="ACF161" s="32"/>
      <c r="ACG161" s="32"/>
      <c r="ACH161" s="32"/>
      <c r="ACI161" s="32"/>
      <c r="ACJ161" s="32"/>
      <c r="ACK161" s="32"/>
      <c r="ACL161" s="32"/>
      <c r="ACM161" s="32"/>
      <c r="ACN161" s="32"/>
      <c r="ACO161" s="32"/>
      <c r="ACP161" s="32"/>
      <c r="ACQ161" s="32"/>
      <c r="ACR161" s="32"/>
      <c r="ACS161" s="32"/>
      <c r="ACT161" s="32"/>
      <c r="ACU161" s="32"/>
      <c r="ACV161" s="32"/>
      <c r="ACW161" s="32"/>
      <c r="ACX161" s="32"/>
      <c r="ACY161" s="32"/>
      <c r="ACZ161" s="32"/>
      <c r="ADA161" s="32"/>
      <c r="ADB161" s="32"/>
      <c r="ADC161" s="32"/>
      <c r="ADD161" s="32"/>
      <c r="ADE161" s="32"/>
      <c r="ADF161" s="32"/>
    </row>
    <row r="162" spans="1:786" ht="30.75" x14ac:dyDescent="0.4">
      <c r="A162" s="173"/>
      <c r="B162" s="136"/>
      <c r="C162" s="174" t="s">
        <v>384</v>
      </c>
      <c r="D162" s="175"/>
      <c r="E162" s="176"/>
      <c r="F162" s="136"/>
      <c r="G162" s="136"/>
      <c r="H162" s="136"/>
      <c r="I162" s="136"/>
      <c r="J162" s="136"/>
      <c r="K162" s="136"/>
      <c r="L162" s="136"/>
      <c r="M162" s="136"/>
      <c r="N162" s="136"/>
      <c r="O162" s="136"/>
      <c r="P162" s="136"/>
      <c r="Q162" s="35"/>
      <c r="R162" s="172">
        <f>R161+K206+K222+K243</f>
        <v>426402450</v>
      </c>
      <c r="S162" s="32"/>
      <c r="T162" s="32"/>
    </row>
    <row r="163" spans="1:786" ht="24.75" hidden="1" customHeight="1" x14ac:dyDescent="0.4">
      <c r="A163" s="420" t="s">
        <v>113</v>
      </c>
      <c r="B163" s="420"/>
      <c r="C163" s="420"/>
      <c r="D163" s="420"/>
      <c r="E163" s="420"/>
      <c r="F163" s="420"/>
      <c r="G163" s="420"/>
      <c r="H163" s="144"/>
      <c r="I163" s="144"/>
      <c r="J163" s="144"/>
      <c r="K163" s="144"/>
      <c r="L163" s="144"/>
      <c r="M163" s="144"/>
      <c r="N163" s="144"/>
      <c r="O163" s="144"/>
      <c r="P163" s="144"/>
      <c r="Q163" s="35"/>
      <c r="R163" s="32"/>
      <c r="S163" s="32"/>
      <c r="T163" s="32"/>
    </row>
    <row r="164" spans="1:786" ht="60" hidden="1" x14ac:dyDescent="0.4">
      <c r="A164" s="399" t="s">
        <v>102</v>
      </c>
      <c r="B164" s="54" t="s">
        <v>103</v>
      </c>
      <c r="C164" s="177" t="s">
        <v>385</v>
      </c>
      <c r="D164" s="110">
        <v>3131</v>
      </c>
      <c r="E164" s="178">
        <v>30000000</v>
      </c>
      <c r="F164" s="144">
        <v>0</v>
      </c>
      <c r="G164" s="144">
        <v>0</v>
      </c>
      <c r="H164" s="54"/>
      <c r="I164" s="54"/>
      <c r="J164" s="54"/>
      <c r="K164" s="54"/>
      <c r="L164" s="54"/>
      <c r="M164" s="54"/>
      <c r="N164" s="54"/>
      <c r="O164" s="54"/>
      <c r="P164" s="54"/>
      <c r="Q164" s="35"/>
      <c r="R164" s="32"/>
      <c r="S164" s="32"/>
      <c r="T164" s="32"/>
    </row>
    <row r="165" spans="1:786" ht="61.5" hidden="1" x14ac:dyDescent="0.4">
      <c r="A165" s="399"/>
      <c r="B165" s="54" t="s">
        <v>386</v>
      </c>
      <c r="C165" s="179" t="s">
        <v>387</v>
      </c>
      <c r="D165" s="150">
        <v>3210</v>
      </c>
      <c r="E165" s="174">
        <v>0</v>
      </c>
      <c r="F165" s="144">
        <v>13031844</v>
      </c>
      <c r="G165" s="144">
        <v>0</v>
      </c>
      <c r="H165" s="54"/>
      <c r="I165" s="54"/>
      <c r="J165" s="54"/>
      <c r="K165" s="54"/>
      <c r="L165" s="54"/>
      <c r="M165" s="54"/>
      <c r="N165" s="54"/>
      <c r="O165" s="54"/>
      <c r="P165" s="54"/>
      <c r="Q165" s="35"/>
      <c r="R165" s="32"/>
      <c r="S165" s="32"/>
      <c r="T165" s="32"/>
    </row>
    <row r="166" spans="1:786" ht="30" hidden="1" customHeight="1" x14ac:dyDescent="0.4">
      <c r="A166" s="399"/>
      <c r="B166" s="54" t="s">
        <v>388</v>
      </c>
      <c r="C166" s="180" t="s">
        <v>389</v>
      </c>
      <c r="D166" s="78">
        <v>3210</v>
      </c>
      <c r="E166" s="174">
        <v>0</v>
      </c>
      <c r="F166" s="102">
        <v>0</v>
      </c>
      <c r="G166" s="76"/>
      <c r="H166" s="54"/>
      <c r="I166" s="54"/>
      <c r="J166" s="54"/>
      <c r="K166" s="54"/>
      <c r="L166" s="54"/>
      <c r="M166" s="54"/>
      <c r="N166" s="54"/>
      <c r="O166" s="54"/>
      <c r="P166" s="54"/>
      <c r="Q166" s="35"/>
      <c r="R166" s="32"/>
      <c r="S166" s="32"/>
      <c r="T166" s="32"/>
    </row>
    <row r="167" spans="1:786" ht="27.75" hidden="1" customHeight="1" x14ac:dyDescent="0.4">
      <c r="A167" s="399"/>
      <c r="B167" s="54" t="s">
        <v>390</v>
      </c>
      <c r="C167" s="181" t="s">
        <v>391</v>
      </c>
      <c r="D167" s="150">
        <v>3131</v>
      </c>
      <c r="E167" s="144">
        <f>E168+E169</f>
        <v>38000000</v>
      </c>
      <c r="F167" s="144">
        <f>F168+F169</f>
        <v>0</v>
      </c>
      <c r="G167" s="144">
        <f>G168+G169</f>
        <v>0</v>
      </c>
      <c r="H167" s="54"/>
      <c r="I167" s="54"/>
      <c r="J167" s="54"/>
      <c r="K167" s="54"/>
      <c r="L167" s="54"/>
      <c r="M167" s="54"/>
      <c r="N167" s="54"/>
      <c r="O167" s="54"/>
      <c r="P167" s="54"/>
      <c r="Q167" s="35"/>
      <c r="R167" s="32"/>
      <c r="S167" s="32"/>
      <c r="T167" s="32"/>
    </row>
    <row r="168" spans="1:786" ht="61.5" hidden="1" x14ac:dyDescent="0.4">
      <c r="A168" s="399"/>
      <c r="B168" s="136" t="s">
        <v>392</v>
      </c>
      <c r="C168" s="182" t="s">
        <v>393</v>
      </c>
      <c r="D168" s="150">
        <v>3131</v>
      </c>
      <c r="E168" s="174">
        <v>9000000</v>
      </c>
      <c r="F168" s="54">
        <v>0</v>
      </c>
      <c r="G168" s="54">
        <v>0</v>
      </c>
      <c r="H168" s="54"/>
      <c r="I168" s="54"/>
      <c r="J168" s="54"/>
      <c r="K168" s="54"/>
      <c r="L168" s="54"/>
      <c r="M168" s="54"/>
      <c r="N168" s="54"/>
      <c r="O168" s="54"/>
      <c r="P168" s="54"/>
      <c r="Q168" s="35"/>
      <c r="R168" s="32"/>
      <c r="S168" s="32"/>
      <c r="T168" s="32"/>
    </row>
    <row r="169" spans="1:786" ht="61.5" hidden="1" x14ac:dyDescent="0.4">
      <c r="A169" s="399"/>
      <c r="B169" s="136" t="s">
        <v>394</v>
      </c>
      <c r="C169" s="182" t="s">
        <v>395</v>
      </c>
      <c r="D169" s="150">
        <v>3131</v>
      </c>
      <c r="E169" s="174">
        <v>29000000</v>
      </c>
      <c r="F169" s="54">
        <v>0</v>
      </c>
      <c r="G169" s="54"/>
      <c r="H169" s="54"/>
      <c r="I169" s="54"/>
      <c r="J169" s="54"/>
      <c r="K169" s="54"/>
      <c r="L169" s="54"/>
      <c r="M169" s="54"/>
      <c r="N169" s="54"/>
      <c r="O169" s="54"/>
      <c r="P169" s="54"/>
      <c r="Q169" s="35"/>
      <c r="R169" s="32"/>
      <c r="S169" s="32"/>
      <c r="T169" s="32"/>
    </row>
    <row r="170" spans="1:786" ht="30.75" hidden="1" customHeight="1" x14ac:dyDescent="0.4">
      <c r="A170" s="143"/>
      <c r="B170" s="49"/>
      <c r="C170" s="183" t="s">
        <v>112</v>
      </c>
      <c r="D170" s="30"/>
      <c r="E170" s="49">
        <f>E167+E166+E165+E164</f>
        <v>68000000</v>
      </c>
      <c r="F170" s="49">
        <f>F167+F166+F165+F164</f>
        <v>13031844</v>
      </c>
      <c r="G170" s="49">
        <f>G167+G166+G165+G164</f>
        <v>0</v>
      </c>
      <c r="H170" s="28"/>
      <c r="I170" s="28"/>
      <c r="J170" s="28"/>
      <c r="K170" s="28"/>
      <c r="L170" s="28"/>
      <c r="M170" s="28"/>
      <c r="N170" s="28"/>
      <c r="O170" s="28"/>
      <c r="P170" s="28"/>
      <c r="Q170" s="35"/>
      <c r="R170" s="32"/>
      <c r="S170" s="32"/>
      <c r="T170" s="32"/>
    </row>
    <row r="171" spans="1:786" ht="30.75" hidden="1" customHeight="1" x14ac:dyDescent="0.4">
      <c r="A171" s="399" t="s">
        <v>396</v>
      </c>
      <c r="B171" s="399"/>
      <c r="C171" s="399"/>
      <c r="D171" s="399"/>
      <c r="E171" s="399"/>
      <c r="F171" s="399"/>
      <c r="G171" s="399"/>
      <c r="H171" s="54"/>
      <c r="I171" s="54"/>
      <c r="J171" s="54"/>
      <c r="K171" s="54"/>
      <c r="L171" s="54"/>
      <c r="M171" s="54"/>
      <c r="N171" s="54"/>
      <c r="O171" s="54"/>
      <c r="P171" s="54"/>
      <c r="Q171" s="35"/>
      <c r="R171" s="32"/>
      <c r="S171" s="32"/>
      <c r="T171" s="32"/>
    </row>
    <row r="172" spans="1:786" ht="87" hidden="1" customHeight="1" x14ac:dyDescent="0.4">
      <c r="A172" s="143" t="s">
        <v>102</v>
      </c>
      <c r="B172" s="49"/>
      <c r="C172" s="184" t="s">
        <v>397</v>
      </c>
      <c r="D172" s="30">
        <v>3210</v>
      </c>
      <c r="E172" s="49">
        <f>F172</f>
        <v>10000000</v>
      </c>
      <c r="F172" s="49">
        <v>10000000</v>
      </c>
      <c r="G172" s="49"/>
      <c r="H172" s="28"/>
      <c r="I172" s="28"/>
      <c r="J172" s="28"/>
      <c r="K172" s="28"/>
      <c r="L172" s="28"/>
      <c r="M172" s="28"/>
      <c r="N172" s="28"/>
      <c r="O172" s="28"/>
      <c r="P172" s="28"/>
      <c r="Q172" s="35"/>
      <c r="R172" s="32"/>
      <c r="S172" s="32"/>
      <c r="T172" s="32"/>
    </row>
    <row r="173" spans="1:786" ht="18.75" hidden="1" customHeight="1" x14ac:dyDescent="0.4">
      <c r="A173" s="420" t="s">
        <v>142</v>
      </c>
      <c r="B173" s="420"/>
      <c r="C173" s="420"/>
      <c r="D173" s="420"/>
      <c r="E173" s="420"/>
      <c r="F173" s="420"/>
      <c r="G173" s="420"/>
      <c r="H173" s="144"/>
      <c r="I173" s="144"/>
      <c r="J173" s="144"/>
      <c r="K173" s="144"/>
      <c r="L173" s="144"/>
      <c r="M173" s="144"/>
      <c r="N173" s="144"/>
      <c r="O173" s="144"/>
      <c r="P173" s="144"/>
      <c r="Q173" s="35"/>
      <c r="R173" s="32"/>
      <c r="S173" s="32"/>
      <c r="T173" s="32"/>
    </row>
    <row r="174" spans="1:786" ht="61.5" hidden="1" x14ac:dyDescent="0.4">
      <c r="A174" s="399" t="s">
        <v>114</v>
      </c>
      <c r="B174" s="136" t="s">
        <v>115</v>
      </c>
      <c r="C174" s="89" t="s">
        <v>398</v>
      </c>
      <c r="D174" s="150">
        <v>3210</v>
      </c>
      <c r="E174" s="54">
        <v>11000000</v>
      </c>
      <c r="F174" s="54">
        <f>13566863-11000000</f>
        <v>2566863</v>
      </c>
      <c r="G174" s="54">
        <v>0</v>
      </c>
      <c r="H174" s="54"/>
      <c r="I174" s="54"/>
      <c r="J174" s="54"/>
      <c r="K174" s="54"/>
      <c r="L174" s="54"/>
      <c r="M174" s="54"/>
      <c r="N174" s="54"/>
      <c r="O174" s="54"/>
      <c r="P174" s="54"/>
      <c r="Q174" s="35"/>
      <c r="R174" s="32"/>
      <c r="S174" s="32"/>
      <c r="T174" s="32"/>
    </row>
    <row r="175" spans="1:786" ht="123" hidden="1" x14ac:dyDescent="0.4">
      <c r="A175" s="399"/>
      <c r="B175" s="136" t="s">
        <v>399</v>
      </c>
      <c r="C175" s="89" t="s">
        <v>400</v>
      </c>
      <c r="D175" s="150">
        <v>3210</v>
      </c>
      <c r="E175" s="54">
        <v>5000000</v>
      </c>
      <c r="F175" s="54">
        <v>0</v>
      </c>
      <c r="G175" s="54">
        <v>0</v>
      </c>
      <c r="H175" s="54"/>
      <c r="I175" s="54"/>
      <c r="J175" s="54"/>
      <c r="K175" s="54"/>
      <c r="L175" s="54"/>
      <c r="M175" s="54"/>
      <c r="N175" s="54"/>
      <c r="O175" s="54"/>
      <c r="P175" s="54"/>
      <c r="Q175" s="35"/>
      <c r="R175" s="32"/>
      <c r="S175" s="32"/>
      <c r="T175" s="32"/>
    </row>
    <row r="176" spans="1:786" ht="30.75" hidden="1" customHeight="1" x14ac:dyDescent="0.4">
      <c r="A176" s="399"/>
      <c r="B176" s="49"/>
      <c r="C176" s="183" t="s">
        <v>112</v>
      </c>
      <c r="D176" s="30"/>
      <c r="E176" s="49">
        <f>E174+E175</f>
        <v>16000000</v>
      </c>
      <c r="F176" s="49">
        <f>F174+F175</f>
        <v>2566863</v>
      </c>
      <c r="G176" s="49">
        <f>G174+G175</f>
        <v>0</v>
      </c>
      <c r="H176" s="28"/>
      <c r="I176" s="28"/>
      <c r="J176" s="28"/>
      <c r="K176" s="28"/>
      <c r="L176" s="28"/>
      <c r="M176" s="28"/>
      <c r="N176" s="28"/>
      <c r="O176" s="28"/>
      <c r="P176" s="28"/>
      <c r="Q176" s="35"/>
      <c r="R176" s="32"/>
      <c r="S176" s="32"/>
      <c r="T176" s="32"/>
    </row>
    <row r="177" spans="1:25" ht="18.75" hidden="1" customHeight="1" x14ac:dyDescent="0.4">
      <c r="A177" s="420" t="s">
        <v>401</v>
      </c>
      <c r="B177" s="399"/>
      <c r="C177" s="399"/>
      <c r="D177" s="399"/>
      <c r="E177" s="399"/>
      <c r="F177" s="399"/>
      <c r="G177" s="399"/>
      <c r="H177" s="54"/>
      <c r="I177" s="54"/>
      <c r="J177" s="54"/>
      <c r="K177" s="54"/>
      <c r="L177" s="54"/>
      <c r="M177" s="54"/>
      <c r="N177" s="54"/>
      <c r="O177" s="54"/>
      <c r="P177" s="54"/>
      <c r="Q177" s="35"/>
      <c r="R177" s="32"/>
      <c r="S177" s="32"/>
      <c r="T177" s="32"/>
    </row>
    <row r="178" spans="1:25" ht="33.75" hidden="1" customHeight="1" x14ac:dyDescent="0.4">
      <c r="A178" s="143" t="s">
        <v>402</v>
      </c>
      <c r="B178" s="136" t="s">
        <v>403</v>
      </c>
      <c r="C178" s="89" t="s">
        <v>404</v>
      </c>
      <c r="D178" s="150">
        <v>3131</v>
      </c>
      <c r="E178" s="54">
        <v>100000000</v>
      </c>
      <c r="F178" s="54">
        <f>20000000-20000000</f>
        <v>0</v>
      </c>
      <c r="G178" s="54">
        <v>0</v>
      </c>
      <c r="H178" s="54"/>
      <c r="I178" s="54"/>
      <c r="J178" s="54"/>
      <c r="K178" s="54"/>
      <c r="L178" s="54"/>
      <c r="M178" s="54"/>
      <c r="N178" s="54"/>
      <c r="O178" s="54"/>
      <c r="P178" s="54"/>
      <c r="Q178" s="35"/>
      <c r="R178" s="32"/>
      <c r="S178" s="32"/>
      <c r="T178" s="32"/>
    </row>
    <row r="179" spans="1:25" ht="30" hidden="1" customHeight="1" x14ac:dyDescent="0.4">
      <c r="A179" s="143"/>
      <c r="B179" s="28"/>
      <c r="C179" s="183" t="s">
        <v>112</v>
      </c>
      <c r="D179" s="30"/>
      <c r="E179" s="49">
        <f>E178</f>
        <v>100000000</v>
      </c>
      <c r="F179" s="49">
        <f>F178</f>
        <v>0</v>
      </c>
      <c r="G179" s="49">
        <f>G178</f>
        <v>0</v>
      </c>
      <c r="H179" s="28"/>
      <c r="I179" s="28"/>
      <c r="J179" s="28"/>
      <c r="K179" s="28"/>
      <c r="L179" s="28"/>
      <c r="M179" s="28"/>
      <c r="N179" s="28"/>
      <c r="O179" s="28"/>
      <c r="P179" s="28"/>
      <c r="Q179" s="35"/>
      <c r="R179" s="32"/>
      <c r="S179" s="32"/>
      <c r="T179" s="32"/>
    </row>
    <row r="180" spans="1:25" ht="42.75" customHeight="1" x14ac:dyDescent="0.4">
      <c r="A180" s="372" t="s">
        <v>142</v>
      </c>
      <c r="B180" s="373"/>
      <c r="C180" s="373"/>
      <c r="D180" s="373"/>
      <c r="E180" s="373"/>
      <c r="F180" s="373"/>
      <c r="G180" s="373"/>
      <c r="H180" s="373"/>
      <c r="I180" s="373"/>
      <c r="J180" s="373"/>
      <c r="K180" s="373"/>
      <c r="L180" s="373"/>
      <c r="M180" s="373"/>
      <c r="N180" s="373"/>
      <c r="O180" s="373"/>
      <c r="P180" s="373"/>
      <c r="Q180" s="35"/>
      <c r="R180" s="37"/>
      <c r="S180" s="37"/>
      <c r="T180" s="37"/>
      <c r="U180" s="37"/>
      <c r="V180" s="37"/>
      <c r="W180" s="37"/>
      <c r="X180" s="37"/>
      <c r="Y180" s="32"/>
    </row>
    <row r="181" spans="1:25" s="186" customFormat="1" ht="114" customHeight="1" x14ac:dyDescent="0.4">
      <c r="A181" s="124">
        <v>1</v>
      </c>
      <c r="B181" s="103" t="s">
        <v>405</v>
      </c>
      <c r="C181" s="130" t="s">
        <v>406</v>
      </c>
      <c r="D181" s="69">
        <v>3210</v>
      </c>
      <c r="E181" s="157">
        <v>400000</v>
      </c>
      <c r="F181" s="54">
        <v>400000</v>
      </c>
      <c r="G181" s="54">
        <v>0</v>
      </c>
      <c r="H181" s="54">
        <f>F181-G181</f>
        <v>400000</v>
      </c>
      <c r="I181" s="54">
        <f>9000000+7300000+2200000</f>
        <v>18500000</v>
      </c>
      <c r="J181" s="54"/>
      <c r="K181" s="136">
        <v>3000000</v>
      </c>
      <c r="L181" s="136">
        <v>0</v>
      </c>
      <c r="M181" s="136">
        <v>0</v>
      </c>
      <c r="N181" s="157"/>
      <c r="O181" s="54">
        <f>9000000+8000000+2915000+16381458+2200000+12000000</f>
        <v>50496458</v>
      </c>
      <c r="P181" s="54"/>
      <c r="Q181" s="35"/>
      <c r="R181" s="172">
        <f>K161-R162</f>
        <v>-3900023</v>
      </c>
      <c r="S181" s="185"/>
      <c r="T181" s="185"/>
    </row>
    <row r="182" spans="1:25" ht="30.75" customHeight="1" x14ac:dyDescent="0.4">
      <c r="A182" s="49"/>
      <c r="B182" s="49"/>
      <c r="C182" s="50" t="s">
        <v>112</v>
      </c>
      <c r="D182" s="34"/>
      <c r="E182" s="49">
        <f>E181</f>
        <v>400000</v>
      </c>
      <c r="F182" s="49">
        <f>F181</f>
        <v>400000</v>
      </c>
      <c r="G182" s="49">
        <f>G181</f>
        <v>0</v>
      </c>
      <c r="H182" s="49">
        <f>SUM(H181:H181)</f>
        <v>400000</v>
      </c>
      <c r="I182" s="49">
        <f>I181</f>
        <v>18500000</v>
      </c>
      <c r="J182" s="49"/>
      <c r="K182" s="49">
        <f>K181</f>
        <v>3000000</v>
      </c>
      <c r="L182" s="49">
        <f>L181</f>
        <v>0</v>
      </c>
      <c r="M182" s="49">
        <f>M181</f>
        <v>0</v>
      </c>
      <c r="N182" s="49"/>
      <c r="O182" s="49">
        <f>O181</f>
        <v>50496458</v>
      </c>
      <c r="P182" s="49"/>
      <c r="Q182" s="35"/>
    </row>
    <row r="183" spans="1:25" ht="42.75" customHeight="1" x14ac:dyDescent="0.4">
      <c r="A183" s="372" t="s">
        <v>401</v>
      </c>
      <c r="B183" s="373"/>
      <c r="C183" s="373"/>
      <c r="D183" s="373"/>
      <c r="E183" s="373"/>
      <c r="F183" s="373"/>
      <c r="G183" s="373"/>
      <c r="H183" s="373"/>
      <c r="I183" s="373"/>
      <c r="J183" s="373"/>
      <c r="K183" s="373"/>
      <c r="L183" s="373"/>
      <c r="M183" s="373"/>
      <c r="N183" s="373"/>
      <c r="O183" s="373"/>
      <c r="P183" s="373"/>
      <c r="Q183" s="35"/>
      <c r="R183" s="37"/>
      <c r="S183" s="37"/>
      <c r="T183" s="37"/>
      <c r="U183" s="37"/>
      <c r="V183" s="37"/>
      <c r="W183" s="37"/>
      <c r="X183" s="37"/>
      <c r="Y183" s="32"/>
    </row>
    <row r="184" spans="1:25" s="186" customFormat="1" ht="86.25" customHeight="1" x14ac:dyDescent="0.4">
      <c r="A184" s="124" t="s">
        <v>407</v>
      </c>
      <c r="B184" s="103" t="s">
        <v>408</v>
      </c>
      <c r="C184" s="130" t="s">
        <v>409</v>
      </c>
      <c r="D184" s="69">
        <v>3131</v>
      </c>
      <c r="E184" s="157">
        <v>0</v>
      </c>
      <c r="F184" s="54">
        <v>0</v>
      </c>
      <c r="G184" s="54">
        <v>0</v>
      </c>
      <c r="H184" s="54">
        <f>F184-G184</f>
        <v>0</v>
      </c>
      <c r="I184" s="54">
        <f>9000000+7300000+2200000</f>
        <v>18500000</v>
      </c>
      <c r="J184" s="54"/>
      <c r="K184" s="136">
        <v>23520749</v>
      </c>
      <c r="L184" s="136">
        <v>0</v>
      </c>
      <c r="M184" s="136">
        <v>0</v>
      </c>
      <c r="N184" s="157"/>
      <c r="O184" s="54">
        <f>9000000+8000000+2915000+16381458+2200000+12000000</f>
        <v>50496458</v>
      </c>
      <c r="P184" s="54"/>
      <c r="Q184" s="35"/>
    </row>
    <row r="185" spans="1:25" ht="30.75" customHeight="1" x14ac:dyDescent="0.4">
      <c r="A185" s="49"/>
      <c r="B185" s="49"/>
      <c r="C185" s="50" t="s">
        <v>112</v>
      </c>
      <c r="D185" s="34"/>
      <c r="E185" s="49">
        <f>E184</f>
        <v>0</v>
      </c>
      <c r="F185" s="49">
        <f>F184</f>
        <v>0</v>
      </c>
      <c r="G185" s="49">
        <f>G184</f>
        <v>0</v>
      </c>
      <c r="H185" s="49">
        <f>SUM(H184:H184)</f>
        <v>0</v>
      </c>
      <c r="I185" s="49">
        <f>I184</f>
        <v>18500000</v>
      </c>
      <c r="J185" s="49"/>
      <c r="K185" s="49">
        <f>K184</f>
        <v>23520749</v>
      </c>
      <c r="L185" s="49">
        <f>L184</f>
        <v>0</v>
      </c>
      <c r="M185" s="49">
        <f>M184</f>
        <v>0</v>
      </c>
      <c r="N185" s="49"/>
      <c r="O185" s="49">
        <f>O184</f>
        <v>50496458</v>
      </c>
      <c r="P185" s="49"/>
      <c r="Q185" s="35"/>
    </row>
    <row r="186" spans="1:25" ht="30.75" customHeight="1" x14ac:dyDescent="0.4">
      <c r="A186" s="429" t="s">
        <v>157</v>
      </c>
      <c r="B186" s="430"/>
      <c r="C186" s="430"/>
      <c r="D186" s="430"/>
      <c r="E186" s="430"/>
      <c r="F186" s="430"/>
      <c r="G186" s="430"/>
      <c r="H186" s="430"/>
      <c r="I186" s="430"/>
      <c r="J186" s="430"/>
      <c r="K186" s="430"/>
      <c r="L186" s="430"/>
      <c r="M186" s="430"/>
      <c r="N186" s="430"/>
      <c r="O186" s="430"/>
      <c r="P186" s="430"/>
      <c r="Q186" s="35"/>
    </row>
    <row r="187" spans="1:25" ht="100.5" customHeight="1" x14ac:dyDescent="0.4">
      <c r="A187" s="431" t="s">
        <v>410</v>
      </c>
      <c r="B187" s="120" t="s">
        <v>134</v>
      </c>
      <c r="C187" s="187" t="s">
        <v>411</v>
      </c>
      <c r="D187" s="90">
        <v>3110</v>
      </c>
      <c r="E187" s="85">
        <v>10000000</v>
      </c>
      <c r="F187" s="85">
        <f>8190768-481768</f>
        <v>7709000</v>
      </c>
      <c r="G187" s="85">
        <v>7709000</v>
      </c>
      <c r="H187" s="83">
        <f>F187-G187</f>
        <v>0</v>
      </c>
      <c r="I187" s="83">
        <v>7710000</v>
      </c>
      <c r="J187" s="83" t="s">
        <v>412</v>
      </c>
      <c r="K187" s="85">
        <f>7710000-1000000-417000+1000000+417000+1033000</f>
        <v>8743000</v>
      </c>
      <c r="L187" s="85">
        <v>0</v>
      </c>
      <c r="M187" s="85">
        <v>0</v>
      </c>
      <c r="N187" s="88"/>
      <c r="O187" s="83">
        <v>9100000</v>
      </c>
      <c r="P187" s="122" t="s">
        <v>413</v>
      </c>
      <c r="Q187" s="35"/>
    </row>
    <row r="188" spans="1:25" ht="87.75" customHeight="1" x14ac:dyDescent="0.4">
      <c r="A188" s="432"/>
      <c r="B188" s="120" t="s">
        <v>136</v>
      </c>
      <c r="C188" s="188" t="s">
        <v>414</v>
      </c>
      <c r="D188" s="90">
        <v>3210</v>
      </c>
      <c r="E188" s="83">
        <v>1383600</v>
      </c>
      <c r="F188" s="83">
        <v>1086060</v>
      </c>
      <c r="G188" s="83">
        <v>1086060</v>
      </c>
      <c r="H188" s="83">
        <f>F188-G188</f>
        <v>0</v>
      </c>
      <c r="I188" s="83">
        <v>0</v>
      </c>
      <c r="J188" s="83"/>
      <c r="K188" s="54">
        <v>0</v>
      </c>
      <c r="L188" s="54">
        <v>0</v>
      </c>
      <c r="M188" s="54">
        <v>0</v>
      </c>
      <c r="N188" s="83"/>
      <c r="O188" s="83"/>
      <c r="P188" s="83"/>
      <c r="Q188" s="35"/>
    </row>
    <row r="189" spans="1:25" ht="82.5" customHeight="1" x14ac:dyDescent="0.4">
      <c r="A189" s="432"/>
      <c r="B189" s="120" t="s">
        <v>138</v>
      </c>
      <c r="C189" s="188" t="s">
        <v>415</v>
      </c>
      <c r="D189" s="90">
        <v>3110</v>
      </c>
      <c r="E189" s="83">
        <v>0</v>
      </c>
      <c r="F189" s="83">
        <f>99000+75000+62899</f>
        <v>236899</v>
      </c>
      <c r="G189" s="83">
        <v>163898.12</v>
      </c>
      <c r="H189" s="83">
        <f>F189-G189</f>
        <v>73000.88</v>
      </c>
      <c r="I189" s="83">
        <v>80000</v>
      </c>
      <c r="J189" s="83" t="s">
        <v>416</v>
      </c>
      <c r="K189" s="85">
        <f>80000+650000</f>
        <v>730000</v>
      </c>
      <c r="L189" s="85">
        <v>0</v>
      </c>
      <c r="M189" s="85">
        <v>0</v>
      </c>
      <c r="N189" s="88"/>
      <c r="O189" s="83">
        <v>80000</v>
      </c>
      <c r="P189" s="122" t="s">
        <v>416</v>
      </c>
      <c r="Q189" s="35"/>
    </row>
    <row r="190" spans="1:25" ht="91.5" customHeight="1" x14ac:dyDescent="0.4">
      <c r="A190" s="433"/>
      <c r="B190" s="120" t="s">
        <v>140</v>
      </c>
      <c r="C190" s="188" t="s">
        <v>417</v>
      </c>
      <c r="D190" s="90">
        <v>3110</v>
      </c>
      <c r="E190" s="83">
        <v>0</v>
      </c>
      <c r="F190" s="83">
        <f>8000000-801832.4</f>
        <v>7198167.5999999996</v>
      </c>
      <c r="G190" s="83">
        <v>0</v>
      </c>
      <c r="H190" s="83">
        <f>F190-G190</f>
        <v>7198167.5999999996</v>
      </c>
      <c r="I190" s="83"/>
      <c r="J190" s="83"/>
      <c r="K190" s="85">
        <v>8000000</v>
      </c>
      <c r="L190" s="85">
        <v>0</v>
      </c>
      <c r="M190" s="85">
        <v>0</v>
      </c>
      <c r="N190" s="83"/>
      <c r="O190" s="83"/>
      <c r="P190" s="122"/>
      <c r="Q190" s="35"/>
    </row>
    <row r="191" spans="1:25" ht="31.5" customHeight="1" x14ac:dyDescent="0.4">
      <c r="A191" s="189"/>
      <c r="B191" s="49"/>
      <c r="C191" s="190" t="s">
        <v>112</v>
      </c>
      <c r="D191" s="30"/>
      <c r="E191" s="49">
        <f>E187+E188+E189+E190</f>
        <v>11383600</v>
      </c>
      <c r="F191" s="49">
        <f>F187+F188+F189+F190</f>
        <v>16230126.6</v>
      </c>
      <c r="G191" s="49">
        <f>G187+G188+G189+G190</f>
        <v>8958958.1199999992</v>
      </c>
      <c r="H191" s="49">
        <f>F191-G191</f>
        <v>7271168.4800000004</v>
      </c>
      <c r="I191" s="49">
        <f>I187+I188+I189</f>
        <v>7790000</v>
      </c>
      <c r="J191" s="49"/>
      <c r="K191" s="49">
        <f>K187+K188+K189+K190</f>
        <v>17473000</v>
      </c>
      <c r="L191" s="49">
        <f>L187+L188+L189+L190</f>
        <v>0</v>
      </c>
      <c r="M191" s="49">
        <f>M187+M188+M189+M190</f>
        <v>0</v>
      </c>
      <c r="N191" s="49"/>
      <c r="O191" s="49">
        <f>O187+O188+O189</f>
        <v>9180000</v>
      </c>
      <c r="P191" s="49"/>
      <c r="Q191" s="35"/>
    </row>
    <row r="192" spans="1:25" ht="30.75" customHeight="1" x14ac:dyDescent="0.4">
      <c r="A192" s="429" t="s">
        <v>418</v>
      </c>
      <c r="B192" s="430"/>
      <c r="C192" s="430"/>
      <c r="D192" s="430"/>
      <c r="E192" s="430"/>
      <c r="F192" s="430"/>
      <c r="G192" s="430"/>
      <c r="H192" s="430"/>
      <c r="I192" s="430"/>
      <c r="J192" s="430"/>
      <c r="K192" s="430"/>
      <c r="L192" s="430"/>
      <c r="M192" s="430"/>
      <c r="N192" s="430"/>
      <c r="O192" s="430"/>
      <c r="P192" s="430"/>
      <c r="Q192" s="35"/>
    </row>
    <row r="193" spans="1:17" ht="87.75" customHeight="1" x14ac:dyDescent="0.4">
      <c r="A193" s="434">
        <v>4</v>
      </c>
      <c r="B193" s="120" t="s">
        <v>144</v>
      </c>
      <c r="C193" s="187" t="s">
        <v>419</v>
      </c>
      <c r="D193" s="90">
        <v>3142</v>
      </c>
      <c r="E193" s="83">
        <v>29775978</v>
      </c>
      <c r="F193" s="83">
        <v>0</v>
      </c>
      <c r="G193" s="83">
        <v>0</v>
      </c>
      <c r="H193" s="83">
        <f>F193-G193</f>
        <v>0</v>
      </c>
      <c r="I193" s="83">
        <v>0</v>
      </c>
      <c r="J193" s="83"/>
      <c r="K193" s="83">
        <v>0</v>
      </c>
      <c r="L193" s="83">
        <v>0</v>
      </c>
      <c r="M193" s="83">
        <v>0</v>
      </c>
      <c r="N193" s="83"/>
      <c r="O193" s="83">
        <v>50000000</v>
      </c>
      <c r="P193" s="83"/>
      <c r="Q193" s="35"/>
    </row>
    <row r="194" spans="1:17" ht="153.75" x14ac:dyDescent="0.4">
      <c r="A194" s="435"/>
      <c r="B194" s="120" t="s">
        <v>148</v>
      </c>
      <c r="C194" s="188" t="s">
        <v>420</v>
      </c>
      <c r="D194" s="90">
        <v>3122</v>
      </c>
      <c r="E194" s="83">
        <v>62065540</v>
      </c>
      <c r="F194" s="83">
        <f>62065540-20967076</f>
        <v>41098464</v>
      </c>
      <c r="G194" s="83">
        <f>588253.44</f>
        <v>588253.43999999994</v>
      </c>
      <c r="H194" s="85">
        <f>F194-G194</f>
        <v>40510210.560000002</v>
      </c>
      <c r="I194" s="85">
        <v>69549410</v>
      </c>
      <c r="J194" s="85"/>
      <c r="K194" s="85">
        <f>113778432.98+0.02-691313-45864000+2400000-28623120+4000000+5000000</f>
        <v>50000000</v>
      </c>
      <c r="L194" s="85">
        <v>0</v>
      </c>
      <c r="M194" s="85">
        <v>0</v>
      </c>
      <c r="N194" s="86"/>
      <c r="O194" s="83">
        <v>69549410</v>
      </c>
      <c r="P194" s="83"/>
      <c r="Q194" s="35"/>
    </row>
    <row r="195" spans="1:17" ht="31.5" customHeight="1" x14ac:dyDescent="0.4">
      <c r="A195" s="189"/>
      <c r="B195" s="49"/>
      <c r="C195" s="190" t="s">
        <v>112</v>
      </c>
      <c r="D195" s="30"/>
      <c r="E195" s="31">
        <f>E193+E194</f>
        <v>91841518</v>
      </c>
      <c r="F195" s="31">
        <f>F193+F194</f>
        <v>41098464</v>
      </c>
      <c r="G195" s="31">
        <f>G193+G194</f>
        <v>588253.43999999994</v>
      </c>
      <c r="H195" s="31">
        <f>SUM(H193:H194)</f>
        <v>40510210.560000002</v>
      </c>
      <c r="I195" s="31">
        <f>I193+I194</f>
        <v>69549410</v>
      </c>
      <c r="J195" s="31"/>
      <c r="K195" s="31">
        <f>K193+K194</f>
        <v>50000000</v>
      </c>
      <c r="L195" s="31">
        <f>L193+L194</f>
        <v>0</v>
      </c>
      <c r="M195" s="31">
        <f>M193+M194</f>
        <v>0</v>
      </c>
      <c r="N195" s="31"/>
      <c r="O195" s="31">
        <f>O193+O194</f>
        <v>119549410</v>
      </c>
      <c r="P195" s="31"/>
      <c r="Q195" s="35"/>
    </row>
    <row r="196" spans="1:17" ht="51.75" customHeight="1" x14ac:dyDescent="0.4">
      <c r="A196" s="429" t="s">
        <v>421</v>
      </c>
      <c r="B196" s="430"/>
      <c r="C196" s="430"/>
      <c r="D196" s="430"/>
      <c r="E196" s="430"/>
      <c r="F196" s="430"/>
      <c r="G196" s="430"/>
      <c r="H196" s="430"/>
      <c r="I196" s="430"/>
      <c r="J196" s="430"/>
      <c r="K196" s="430"/>
      <c r="L196" s="430"/>
      <c r="M196" s="430"/>
      <c r="N196" s="430"/>
      <c r="O196" s="430"/>
      <c r="P196" s="430"/>
      <c r="Q196" s="35"/>
    </row>
    <row r="197" spans="1:17" ht="178.5" customHeight="1" x14ac:dyDescent="0.4">
      <c r="A197" s="426">
        <v>5</v>
      </c>
      <c r="B197" s="123" t="s">
        <v>131</v>
      </c>
      <c r="C197" s="187" t="s">
        <v>422</v>
      </c>
      <c r="D197" s="150">
        <v>3210</v>
      </c>
      <c r="E197" s="54">
        <v>0</v>
      </c>
      <c r="F197" s="136">
        <v>7302369.2400000002</v>
      </c>
      <c r="G197" s="54">
        <v>7302369.2400000002</v>
      </c>
      <c r="H197" s="54">
        <f>F197-G197</f>
        <v>0</v>
      </c>
      <c r="I197" s="54">
        <v>0</v>
      </c>
      <c r="J197" s="54"/>
      <c r="K197" s="54">
        <v>0</v>
      </c>
      <c r="L197" s="54">
        <v>0</v>
      </c>
      <c r="M197" s="54">
        <v>0</v>
      </c>
      <c r="N197" s="54"/>
      <c r="O197" s="54">
        <v>0</v>
      </c>
      <c r="P197" s="38"/>
      <c r="Q197" s="35"/>
    </row>
    <row r="198" spans="1:17" ht="79.5" customHeight="1" x14ac:dyDescent="0.4">
      <c r="A198" s="427"/>
      <c r="B198" s="123" t="s">
        <v>180</v>
      </c>
      <c r="C198" s="187" t="s">
        <v>423</v>
      </c>
      <c r="D198" s="150">
        <v>3131</v>
      </c>
      <c r="E198" s="54">
        <v>0</v>
      </c>
      <c r="F198" s="136">
        <v>600000</v>
      </c>
      <c r="G198" s="54">
        <v>598661.35</v>
      </c>
      <c r="H198" s="136">
        <f>F198-G198</f>
        <v>1338.6500000000233</v>
      </c>
      <c r="I198" s="54">
        <v>0</v>
      </c>
      <c r="J198" s="54"/>
      <c r="K198" s="54">
        <v>0</v>
      </c>
      <c r="L198" s="54">
        <v>0</v>
      </c>
      <c r="M198" s="54">
        <v>0</v>
      </c>
      <c r="N198" s="54"/>
      <c r="O198" s="54">
        <v>0</v>
      </c>
      <c r="P198" s="38"/>
      <c r="Q198" s="35"/>
    </row>
    <row r="199" spans="1:17" ht="128.25" customHeight="1" x14ac:dyDescent="0.4">
      <c r="A199" s="427"/>
      <c r="B199" s="123" t="s">
        <v>184</v>
      </c>
      <c r="C199" s="187" t="s">
        <v>424</v>
      </c>
      <c r="D199" s="150">
        <v>3210</v>
      </c>
      <c r="E199" s="54">
        <v>0</v>
      </c>
      <c r="F199" s="136">
        <f>9220000-311033.13</f>
        <v>8908966.8699999992</v>
      </c>
      <c r="G199" s="54">
        <v>711354.08</v>
      </c>
      <c r="H199" s="54">
        <f>F199-G199</f>
        <v>8197612.7899999991</v>
      </c>
      <c r="I199" s="54"/>
      <c r="J199" s="54"/>
      <c r="K199" s="54">
        <v>0</v>
      </c>
      <c r="L199" s="54">
        <v>0</v>
      </c>
      <c r="M199" s="54">
        <v>0</v>
      </c>
      <c r="N199" s="54"/>
      <c r="O199" s="54"/>
      <c r="P199" s="38"/>
      <c r="Q199" s="35"/>
    </row>
    <row r="200" spans="1:17" ht="81" customHeight="1" x14ac:dyDescent="0.4">
      <c r="A200" s="427"/>
      <c r="B200" s="123" t="s">
        <v>186</v>
      </c>
      <c r="C200" s="187" t="s">
        <v>425</v>
      </c>
      <c r="D200" s="150">
        <v>3131</v>
      </c>
      <c r="E200" s="54">
        <v>0</v>
      </c>
      <c r="F200" s="136">
        <v>7600000</v>
      </c>
      <c r="G200" s="54">
        <v>0</v>
      </c>
      <c r="H200" s="54">
        <f>F200-G200</f>
        <v>7600000</v>
      </c>
      <c r="I200" s="54"/>
      <c r="J200" s="54"/>
      <c r="K200" s="54">
        <v>0</v>
      </c>
      <c r="L200" s="54">
        <v>0</v>
      </c>
      <c r="M200" s="54">
        <v>0</v>
      </c>
      <c r="N200" s="54"/>
      <c r="O200" s="54"/>
      <c r="P200" s="38"/>
      <c r="Q200" s="35"/>
    </row>
    <row r="201" spans="1:17" ht="109.5" customHeight="1" x14ac:dyDescent="0.4">
      <c r="A201" s="427"/>
      <c r="B201" s="123" t="s">
        <v>189</v>
      </c>
      <c r="C201" s="187" t="s">
        <v>426</v>
      </c>
      <c r="D201" s="150"/>
      <c r="E201" s="54">
        <v>0</v>
      </c>
      <c r="F201" s="136">
        <f>110000+2300000</f>
        <v>2410000</v>
      </c>
      <c r="G201" s="54"/>
      <c r="H201" s="54"/>
      <c r="I201" s="54"/>
      <c r="J201" s="54"/>
      <c r="K201" s="54">
        <v>0</v>
      </c>
      <c r="L201" s="54">
        <v>0</v>
      </c>
      <c r="M201" s="54">
        <v>0</v>
      </c>
      <c r="N201" s="54"/>
      <c r="O201" s="54"/>
      <c r="P201" s="38"/>
      <c r="Q201" s="35"/>
    </row>
    <row r="202" spans="1:17" ht="109.5" customHeight="1" x14ac:dyDescent="0.4">
      <c r="A202" s="427"/>
      <c r="B202" s="123" t="s">
        <v>193</v>
      </c>
      <c r="C202" s="187" t="s">
        <v>427</v>
      </c>
      <c r="D202" s="150"/>
      <c r="E202" s="54">
        <v>0</v>
      </c>
      <c r="F202" s="136">
        <f>4800000+201033.13</f>
        <v>5001033.13</v>
      </c>
      <c r="G202" s="54"/>
      <c r="H202" s="54"/>
      <c r="I202" s="54"/>
      <c r="J202" s="54"/>
      <c r="K202" s="54">
        <v>0</v>
      </c>
      <c r="L202" s="54">
        <v>0</v>
      </c>
      <c r="M202" s="54">
        <v>0</v>
      </c>
      <c r="N202" s="54"/>
      <c r="O202" s="54"/>
      <c r="P202" s="38"/>
      <c r="Q202" s="35"/>
    </row>
    <row r="203" spans="1:17" ht="109.5" customHeight="1" x14ac:dyDescent="0.4">
      <c r="A203" s="428"/>
      <c r="B203" s="123" t="s">
        <v>197</v>
      </c>
      <c r="C203" s="187" t="s">
        <v>428</v>
      </c>
      <c r="D203" s="150"/>
      <c r="E203" s="54">
        <v>0</v>
      </c>
      <c r="F203" s="136">
        <v>103000</v>
      </c>
      <c r="G203" s="54"/>
      <c r="H203" s="54"/>
      <c r="I203" s="54"/>
      <c r="J203" s="54"/>
      <c r="K203" s="136">
        <v>417000</v>
      </c>
      <c r="L203" s="54">
        <v>0</v>
      </c>
      <c r="M203" s="54">
        <v>0</v>
      </c>
      <c r="N203" s="54"/>
      <c r="O203" s="54"/>
      <c r="P203" s="38"/>
      <c r="Q203" s="35"/>
    </row>
    <row r="204" spans="1:17" ht="31.5" customHeight="1" x14ac:dyDescent="0.4">
      <c r="A204" s="189"/>
      <c r="B204" s="49"/>
      <c r="C204" s="190" t="s">
        <v>112</v>
      </c>
      <c r="D204" s="30"/>
      <c r="E204" s="49">
        <f>E197+E198+E199+E200</f>
        <v>0</v>
      </c>
      <c r="F204" s="49">
        <f>F197+F198+F199+F200+F201+F202+F203</f>
        <v>31925369.239999998</v>
      </c>
      <c r="G204" s="49">
        <f t="shared" ref="G204:M204" si="18">G197+G198+G199+G200+G201+G202+G203</f>
        <v>8612384.6699999999</v>
      </c>
      <c r="H204" s="49">
        <f t="shared" si="18"/>
        <v>15798951.439999999</v>
      </c>
      <c r="I204" s="49">
        <f t="shared" si="18"/>
        <v>0</v>
      </c>
      <c r="J204" s="49">
        <f t="shared" si="18"/>
        <v>0</v>
      </c>
      <c r="K204" s="49">
        <f t="shared" si="18"/>
        <v>417000</v>
      </c>
      <c r="L204" s="49">
        <f t="shared" si="18"/>
        <v>0</v>
      </c>
      <c r="M204" s="49">
        <f t="shared" si="18"/>
        <v>0</v>
      </c>
      <c r="N204" s="49"/>
      <c r="O204" s="49">
        <f>O197+O198</f>
        <v>0</v>
      </c>
      <c r="P204" s="49"/>
      <c r="Q204" s="35"/>
    </row>
    <row r="205" spans="1:17" ht="47.25" customHeight="1" x14ac:dyDescent="0.4">
      <c r="A205" s="406" t="s">
        <v>294</v>
      </c>
      <c r="B205" s="407"/>
      <c r="C205" s="407"/>
      <c r="D205" s="407"/>
      <c r="E205" s="407"/>
      <c r="F205" s="407"/>
      <c r="G205" s="407"/>
      <c r="H205" s="407"/>
      <c r="I205" s="407"/>
      <c r="J205" s="407"/>
      <c r="K205" s="407"/>
      <c r="L205" s="407"/>
      <c r="M205" s="407"/>
      <c r="N205" s="407"/>
      <c r="O205" s="407"/>
      <c r="P205" s="436"/>
      <c r="Q205" s="35"/>
    </row>
    <row r="206" spans="1:17" ht="159" customHeight="1" x14ac:dyDescent="0.4">
      <c r="A206" s="426">
        <v>6</v>
      </c>
      <c r="B206" s="144" t="s">
        <v>429</v>
      </c>
      <c r="C206" s="191" t="s">
        <v>430</v>
      </c>
      <c r="D206" s="150">
        <v>3210</v>
      </c>
      <c r="E206" s="144">
        <v>23310000</v>
      </c>
      <c r="F206" s="176">
        <f>23310000-17585279+2338319</f>
        <v>8063040</v>
      </c>
      <c r="G206" s="144">
        <v>4155970.67</v>
      </c>
      <c r="H206" s="144">
        <f>F206-G206</f>
        <v>3907069.33</v>
      </c>
      <c r="I206" s="144">
        <f>55195140+4851000</f>
        <v>60046140</v>
      </c>
      <c r="J206" s="144"/>
      <c r="K206" s="176">
        <v>61165350</v>
      </c>
      <c r="L206" s="176">
        <v>0</v>
      </c>
      <c r="M206" s="176">
        <v>0</v>
      </c>
      <c r="N206" s="113"/>
      <c r="O206" s="144">
        <v>60046140</v>
      </c>
      <c r="P206" s="144"/>
      <c r="Q206" s="35"/>
    </row>
    <row r="207" spans="1:17" ht="144.75" customHeight="1" x14ac:dyDescent="0.4">
      <c r="A207" s="427"/>
      <c r="B207" s="144" t="s">
        <v>431</v>
      </c>
      <c r="C207" s="191" t="s">
        <v>432</v>
      </c>
      <c r="D207" s="192">
        <v>3210</v>
      </c>
      <c r="E207" s="144">
        <f>SUM(E208:E209)</f>
        <v>160000000</v>
      </c>
      <c r="F207" s="144">
        <f>SUM(F208:F209)</f>
        <v>160000000</v>
      </c>
      <c r="G207" s="144">
        <f>SUM(G208:G209)</f>
        <v>0</v>
      </c>
      <c r="H207" s="144">
        <f>SUM(H208:H209)</f>
        <v>160000000</v>
      </c>
      <c r="I207" s="144">
        <f>I208+I209+I210</f>
        <v>0</v>
      </c>
      <c r="J207" s="144"/>
      <c r="K207" s="144">
        <f>K208+K209</f>
        <v>0</v>
      </c>
      <c r="L207" s="144">
        <f>L208+L209</f>
        <v>0</v>
      </c>
      <c r="M207" s="144">
        <f>M208+M209</f>
        <v>0</v>
      </c>
      <c r="N207" s="144"/>
      <c r="O207" s="144">
        <f>O208+O209</f>
        <v>0</v>
      </c>
      <c r="P207" s="38"/>
      <c r="Q207" s="35"/>
    </row>
    <row r="208" spans="1:17" s="197" customFormat="1" ht="152.25" customHeight="1" x14ac:dyDescent="0.4">
      <c r="A208" s="427"/>
      <c r="B208" s="193" t="s">
        <v>433</v>
      </c>
      <c r="C208" s="149" t="s">
        <v>434</v>
      </c>
      <c r="D208" s="194"/>
      <c r="E208" s="195">
        <v>61451970</v>
      </c>
      <c r="F208" s="195">
        <v>65471830</v>
      </c>
      <c r="G208" s="195">
        <v>0</v>
      </c>
      <c r="H208" s="195">
        <f>F208-G208</f>
        <v>65471830</v>
      </c>
      <c r="I208" s="195">
        <v>0</v>
      </c>
      <c r="J208" s="195"/>
      <c r="K208" s="195">
        <v>0</v>
      </c>
      <c r="L208" s="195">
        <v>0</v>
      </c>
      <c r="M208" s="195">
        <v>0</v>
      </c>
      <c r="N208" s="195"/>
      <c r="O208" s="196">
        <v>0</v>
      </c>
      <c r="P208" s="38"/>
      <c r="Q208" s="35"/>
    </row>
    <row r="209" spans="1:18" s="197" customFormat="1" ht="120" customHeight="1" x14ac:dyDescent="0.4">
      <c r="A209" s="427"/>
      <c r="B209" s="193" t="s">
        <v>435</v>
      </c>
      <c r="C209" s="149" t="s">
        <v>436</v>
      </c>
      <c r="D209" s="194"/>
      <c r="E209" s="195">
        <v>98548030</v>
      </c>
      <c r="F209" s="195">
        <v>94528170</v>
      </c>
      <c r="G209" s="195">
        <v>0</v>
      </c>
      <c r="H209" s="195">
        <f>F209-G209</f>
        <v>94528170</v>
      </c>
      <c r="I209" s="195">
        <v>0</v>
      </c>
      <c r="J209" s="195"/>
      <c r="K209" s="195">
        <v>0</v>
      </c>
      <c r="L209" s="195">
        <v>0</v>
      </c>
      <c r="M209" s="195">
        <v>0</v>
      </c>
      <c r="N209" s="195"/>
      <c r="O209" s="196">
        <v>0</v>
      </c>
      <c r="P209" s="38"/>
      <c r="Q209" s="35"/>
    </row>
    <row r="210" spans="1:18" ht="134.25" customHeight="1" x14ac:dyDescent="0.4">
      <c r="A210" s="427"/>
      <c r="B210" s="141" t="s">
        <v>252</v>
      </c>
      <c r="C210" s="119" t="s">
        <v>437</v>
      </c>
      <c r="D210" s="194"/>
      <c r="E210" s="176">
        <v>0</v>
      </c>
      <c r="F210" s="176">
        <v>1445000</v>
      </c>
      <c r="G210" s="176"/>
      <c r="H210" s="176">
        <f>F210-G210</f>
        <v>1445000</v>
      </c>
      <c r="I210" s="176">
        <v>0</v>
      </c>
      <c r="J210" s="176"/>
      <c r="K210" s="176">
        <v>0</v>
      </c>
      <c r="L210" s="176">
        <v>0</v>
      </c>
      <c r="M210" s="176">
        <v>0</v>
      </c>
      <c r="N210" s="176"/>
      <c r="O210" s="144">
        <v>0</v>
      </c>
      <c r="P210" s="38"/>
      <c r="Q210" s="35"/>
    </row>
    <row r="211" spans="1:18" ht="195" customHeight="1" x14ac:dyDescent="0.4">
      <c r="A211" s="427"/>
      <c r="B211" s="141" t="s">
        <v>254</v>
      </c>
      <c r="C211" s="119" t="s">
        <v>438</v>
      </c>
      <c r="D211" s="175">
        <v>3210</v>
      </c>
      <c r="E211" s="176">
        <f>E212+E213+E214+E215+E216+E217+E2367</f>
        <v>0</v>
      </c>
      <c r="F211" s="176">
        <f>F212+F213+F214+F215+F216+F217+F2367+F218</f>
        <v>273680272</v>
      </c>
      <c r="G211" s="176">
        <f>G212+G213+G214+G215+G216+G217+G2367+G218</f>
        <v>817028.53</v>
      </c>
      <c r="H211" s="176">
        <f>SUM(H212:H215)</f>
        <v>263583243.47</v>
      </c>
      <c r="I211" s="176">
        <f>I212+I213+I214+I215</f>
        <v>295000000</v>
      </c>
      <c r="J211" s="176"/>
      <c r="K211" s="176">
        <f>K212+K213+K214+K215</f>
        <v>0</v>
      </c>
      <c r="L211" s="176">
        <f>L212+L213+L214+L215</f>
        <v>0</v>
      </c>
      <c r="M211" s="176">
        <f>M212+M213+M214+M215</f>
        <v>0</v>
      </c>
      <c r="N211" s="176"/>
      <c r="O211" s="144">
        <f>O212+O213+O214+O215</f>
        <v>500000000</v>
      </c>
      <c r="P211" s="38"/>
      <c r="Q211" s="35"/>
    </row>
    <row r="212" spans="1:18" s="197" customFormat="1" ht="159.75" customHeight="1" x14ac:dyDescent="0.4">
      <c r="A212" s="427"/>
      <c r="B212" s="198" t="s">
        <v>439</v>
      </c>
      <c r="C212" s="149" t="s">
        <v>440</v>
      </c>
      <c r="D212" s="194"/>
      <c r="E212" s="195">
        <v>0</v>
      </c>
      <c r="F212" s="195">
        <v>4500000</v>
      </c>
      <c r="G212" s="195">
        <v>0</v>
      </c>
      <c r="H212" s="195">
        <f>F212-G212</f>
        <v>4500000</v>
      </c>
      <c r="I212" s="195">
        <v>0</v>
      </c>
      <c r="J212" s="195"/>
      <c r="K212" s="195">
        <f>1000000-1000000</f>
        <v>0</v>
      </c>
      <c r="L212" s="195">
        <f>1000000-1000000</f>
        <v>0</v>
      </c>
      <c r="M212" s="195">
        <f>1000000-1000000</f>
        <v>0</v>
      </c>
      <c r="N212" s="83"/>
      <c r="O212" s="196">
        <v>0</v>
      </c>
      <c r="P212" s="38"/>
      <c r="Q212" s="35"/>
    </row>
    <row r="213" spans="1:18" s="197" customFormat="1" ht="153.75" x14ac:dyDescent="0.4">
      <c r="A213" s="427"/>
      <c r="B213" s="198" t="s">
        <v>441</v>
      </c>
      <c r="C213" s="149" t="s">
        <v>442</v>
      </c>
      <c r="D213" s="194"/>
      <c r="E213" s="195">
        <v>0</v>
      </c>
      <c r="F213" s="195">
        <v>110000000</v>
      </c>
      <c r="G213" s="195">
        <v>0</v>
      </c>
      <c r="H213" s="195">
        <f t="shared" ref="H213:H223" si="19">F213-G213</f>
        <v>110000000</v>
      </c>
      <c r="I213" s="195">
        <v>0</v>
      </c>
      <c r="J213" s="195"/>
      <c r="K213" s="195">
        <v>0</v>
      </c>
      <c r="L213" s="195">
        <v>0</v>
      </c>
      <c r="M213" s="195">
        <v>0</v>
      </c>
      <c r="N213" s="195"/>
      <c r="O213" s="196">
        <v>0</v>
      </c>
      <c r="P213" s="38"/>
      <c r="Q213" s="35"/>
    </row>
    <row r="214" spans="1:18" s="197" customFormat="1" ht="123" x14ac:dyDescent="0.4">
      <c r="A214" s="427"/>
      <c r="B214" s="198" t="s">
        <v>443</v>
      </c>
      <c r="C214" s="149" t="s">
        <v>444</v>
      </c>
      <c r="D214" s="194"/>
      <c r="E214" s="195">
        <v>0</v>
      </c>
      <c r="F214" s="195">
        <v>139400272</v>
      </c>
      <c r="G214" s="195">
        <v>817028.53</v>
      </c>
      <c r="H214" s="195">
        <f t="shared" si="19"/>
        <v>138583243.47</v>
      </c>
      <c r="I214" s="195">
        <v>0</v>
      </c>
      <c r="J214" s="195"/>
      <c r="K214" s="195">
        <v>0</v>
      </c>
      <c r="L214" s="195">
        <v>0</v>
      </c>
      <c r="M214" s="195">
        <v>0</v>
      </c>
      <c r="N214" s="195"/>
      <c r="O214" s="196">
        <v>0</v>
      </c>
      <c r="P214" s="38"/>
      <c r="Q214" s="35"/>
    </row>
    <row r="215" spans="1:18" s="197" customFormat="1" ht="123" x14ac:dyDescent="0.4">
      <c r="A215" s="427"/>
      <c r="B215" s="198" t="s">
        <v>445</v>
      </c>
      <c r="C215" s="149" t="s">
        <v>446</v>
      </c>
      <c r="D215" s="194"/>
      <c r="E215" s="195">
        <v>0</v>
      </c>
      <c r="F215" s="195">
        <v>10500000</v>
      </c>
      <c r="G215" s="195">
        <v>0</v>
      </c>
      <c r="H215" s="195">
        <f t="shared" si="19"/>
        <v>10500000</v>
      </c>
      <c r="I215" s="195">
        <v>295000000</v>
      </c>
      <c r="J215" s="195"/>
      <c r="K215" s="195">
        <v>0</v>
      </c>
      <c r="L215" s="195">
        <v>0</v>
      </c>
      <c r="M215" s="195">
        <v>0</v>
      </c>
      <c r="N215" s="195"/>
      <c r="O215" s="196">
        <v>500000000</v>
      </c>
      <c r="P215" s="38"/>
      <c r="Q215" s="35"/>
    </row>
    <row r="216" spans="1:18" s="197" customFormat="1" ht="125.25" customHeight="1" x14ac:dyDescent="0.4">
      <c r="A216" s="427"/>
      <c r="B216" s="198" t="s">
        <v>447</v>
      </c>
      <c r="C216" s="149" t="s">
        <v>448</v>
      </c>
      <c r="D216" s="194"/>
      <c r="E216" s="195">
        <v>0</v>
      </c>
      <c r="F216" s="195">
        <v>4200000</v>
      </c>
      <c r="G216" s="195">
        <v>0</v>
      </c>
      <c r="H216" s="195">
        <f t="shared" si="19"/>
        <v>4200000</v>
      </c>
      <c r="I216" s="195"/>
      <c r="J216" s="195"/>
      <c r="K216" s="195">
        <v>0</v>
      </c>
      <c r="L216" s="195">
        <v>0</v>
      </c>
      <c r="M216" s="195">
        <v>0</v>
      </c>
      <c r="N216" s="195"/>
      <c r="O216" s="196"/>
      <c r="P216" s="38"/>
      <c r="Q216" s="35"/>
    </row>
    <row r="217" spans="1:18" s="197" customFormat="1" ht="120" customHeight="1" x14ac:dyDescent="0.4">
      <c r="A217" s="427"/>
      <c r="B217" s="198" t="s">
        <v>449</v>
      </c>
      <c r="C217" s="149" t="s">
        <v>450</v>
      </c>
      <c r="D217" s="194"/>
      <c r="E217" s="195">
        <v>0</v>
      </c>
      <c r="F217" s="195">
        <v>2630000</v>
      </c>
      <c r="G217" s="195">
        <v>0</v>
      </c>
      <c r="H217" s="195">
        <f t="shared" si="19"/>
        <v>2630000</v>
      </c>
      <c r="I217" s="195"/>
      <c r="J217" s="195"/>
      <c r="K217" s="195">
        <v>0</v>
      </c>
      <c r="L217" s="195">
        <v>0</v>
      </c>
      <c r="M217" s="195">
        <v>0</v>
      </c>
      <c r="N217" s="195"/>
      <c r="O217" s="196"/>
      <c r="P217" s="38"/>
      <c r="Q217" s="35"/>
    </row>
    <row r="218" spans="1:18" s="197" customFormat="1" ht="121.5" customHeight="1" x14ac:dyDescent="0.4">
      <c r="A218" s="427"/>
      <c r="B218" s="198" t="s">
        <v>451</v>
      </c>
      <c r="C218" s="149" t="s">
        <v>452</v>
      </c>
      <c r="D218" s="194"/>
      <c r="E218" s="195">
        <v>0</v>
      </c>
      <c r="F218" s="195">
        <v>2450000</v>
      </c>
      <c r="G218" s="195">
        <v>0</v>
      </c>
      <c r="H218" s="195">
        <f t="shared" si="19"/>
        <v>2450000</v>
      </c>
      <c r="I218" s="195"/>
      <c r="J218" s="195"/>
      <c r="K218" s="195">
        <v>0</v>
      </c>
      <c r="L218" s="195">
        <v>0</v>
      </c>
      <c r="M218" s="195">
        <v>0</v>
      </c>
      <c r="N218" s="195"/>
      <c r="O218" s="196"/>
      <c r="P218" s="38"/>
      <c r="Q218" s="35"/>
    </row>
    <row r="219" spans="1:18" s="197" customFormat="1" ht="180" x14ac:dyDescent="0.4">
      <c r="A219" s="427"/>
      <c r="B219" s="141" t="s">
        <v>256</v>
      </c>
      <c r="C219" s="125" t="s">
        <v>453</v>
      </c>
      <c r="D219" s="175">
        <v>3210</v>
      </c>
      <c r="E219" s="199">
        <v>0</v>
      </c>
      <c r="F219" s="199">
        <v>140000000</v>
      </c>
      <c r="G219" s="199">
        <v>0</v>
      </c>
      <c r="H219" s="199">
        <f t="shared" si="19"/>
        <v>140000000</v>
      </c>
      <c r="I219" s="199">
        <f>I220</f>
        <v>0</v>
      </c>
      <c r="J219" s="199"/>
      <c r="K219" s="199">
        <f>K220</f>
        <v>0</v>
      </c>
      <c r="L219" s="195">
        <v>0</v>
      </c>
      <c r="M219" s="195">
        <v>0</v>
      </c>
      <c r="N219" s="199"/>
      <c r="O219" s="200">
        <f>O220</f>
        <v>0</v>
      </c>
      <c r="P219" s="38"/>
      <c r="Q219" s="35"/>
    </row>
    <row r="220" spans="1:18" s="197" customFormat="1" ht="159.75" customHeight="1" x14ac:dyDescent="0.4">
      <c r="A220" s="427"/>
      <c r="B220" s="198" t="s">
        <v>454</v>
      </c>
      <c r="C220" s="149" t="s">
        <v>455</v>
      </c>
      <c r="D220" s="194"/>
      <c r="E220" s="195">
        <v>0</v>
      </c>
      <c r="F220" s="195">
        <f>F219</f>
        <v>140000000</v>
      </c>
      <c r="G220" s="195">
        <v>0</v>
      </c>
      <c r="H220" s="195">
        <f t="shared" si="19"/>
        <v>140000000</v>
      </c>
      <c r="I220" s="195">
        <v>0</v>
      </c>
      <c r="J220" s="195"/>
      <c r="K220" s="195">
        <v>0</v>
      </c>
      <c r="L220" s="195">
        <v>0</v>
      </c>
      <c r="M220" s="195">
        <v>0</v>
      </c>
      <c r="N220" s="195"/>
      <c r="O220" s="196"/>
      <c r="P220" s="38"/>
      <c r="Q220" s="35"/>
    </row>
    <row r="221" spans="1:18" s="197" customFormat="1" ht="225.75" customHeight="1" x14ac:dyDescent="0.4">
      <c r="A221" s="427"/>
      <c r="B221" s="141" t="s">
        <v>258</v>
      </c>
      <c r="C221" s="201" t="s">
        <v>456</v>
      </c>
      <c r="D221" s="175">
        <v>3210</v>
      </c>
      <c r="E221" s="199">
        <v>0</v>
      </c>
      <c r="F221" s="199">
        <v>0</v>
      </c>
      <c r="G221" s="199">
        <v>0</v>
      </c>
      <c r="H221" s="199">
        <f t="shared" si="19"/>
        <v>0</v>
      </c>
      <c r="I221" s="199">
        <v>0</v>
      </c>
      <c r="J221" s="199"/>
      <c r="K221" s="199">
        <f>4492512</f>
        <v>4492512</v>
      </c>
      <c r="L221" s="199">
        <v>0</v>
      </c>
      <c r="M221" s="199">
        <v>0</v>
      </c>
      <c r="N221" s="202"/>
      <c r="O221" s="200">
        <v>4492512</v>
      </c>
      <c r="P221" s="38"/>
      <c r="Q221" s="35"/>
    </row>
    <row r="222" spans="1:18" s="197" customFormat="1" ht="104.25" customHeight="1" x14ac:dyDescent="0.4">
      <c r="A222" s="428"/>
      <c r="B222" s="141" t="s">
        <v>260</v>
      </c>
      <c r="C222" s="201" t="s">
        <v>457</v>
      </c>
      <c r="D222" s="175">
        <v>3210</v>
      </c>
      <c r="E222" s="199">
        <v>0</v>
      </c>
      <c r="F222" s="199">
        <v>0</v>
      </c>
      <c r="G222" s="199">
        <v>0</v>
      </c>
      <c r="H222" s="199">
        <v>0</v>
      </c>
      <c r="I222" s="199"/>
      <c r="J222" s="199"/>
      <c r="K222" s="199">
        <v>225000000</v>
      </c>
      <c r="L222" s="199">
        <v>0</v>
      </c>
      <c r="M222" s="199">
        <v>0</v>
      </c>
      <c r="N222" s="202"/>
      <c r="O222" s="200"/>
      <c r="P222" s="38"/>
      <c r="Q222" s="35"/>
    </row>
    <row r="223" spans="1:18" ht="33" customHeight="1" x14ac:dyDescent="0.4">
      <c r="A223" s="189"/>
      <c r="B223" s="49"/>
      <c r="C223" s="190" t="s">
        <v>112</v>
      </c>
      <c r="D223" s="30"/>
      <c r="E223" s="49">
        <f>E206+E207+E210+E211+E219+E221</f>
        <v>183310000</v>
      </c>
      <c r="F223" s="49">
        <f>F206+F207+F210+F211+F219+F221</f>
        <v>583188312</v>
      </c>
      <c r="G223" s="49">
        <f>G206+G207+G210+G211+G219+G221</f>
        <v>4972999.2</v>
      </c>
      <c r="H223" s="49">
        <f t="shared" si="19"/>
        <v>578215312.79999995</v>
      </c>
      <c r="I223" s="49">
        <f>I206+I207+I210+I211+I219+I221</f>
        <v>355046140</v>
      </c>
      <c r="J223" s="49"/>
      <c r="K223" s="49">
        <f>K206+K207+K210+K211+K219+K221+K222</f>
        <v>290657862</v>
      </c>
      <c r="L223" s="49">
        <f>L206+L207+L210+L211+L219+L221+L222</f>
        <v>0</v>
      </c>
      <c r="M223" s="49">
        <f>M206+M207+M210+M211+M219+M221+M222</f>
        <v>0</v>
      </c>
      <c r="N223" s="49"/>
      <c r="O223" s="49" t="e">
        <f>O206+O207+O210+O211+O219+O221+#REF!</f>
        <v>#REF!</v>
      </c>
      <c r="P223" s="49"/>
      <c r="Q223" s="35"/>
    </row>
    <row r="224" spans="1:18" ht="42.75" customHeight="1" x14ac:dyDescent="0.4">
      <c r="A224" s="406" t="s">
        <v>458</v>
      </c>
      <c r="B224" s="407"/>
      <c r="C224" s="407"/>
      <c r="D224" s="407"/>
      <c r="E224" s="407"/>
      <c r="F224" s="407"/>
      <c r="G224" s="407"/>
      <c r="H224" s="407"/>
      <c r="I224" s="407"/>
      <c r="J224" s="407"/>
      <c r="K224" s="407"/>
      <c r="L224" s="407"/>
      <c r="M224" s="407"/>
      <c r="N224" s="407"/>
      <c r="O224" s="407"/>
      <c r="P224" s="436"/>
      <c r="Q224" s="35"/>
      <c r="R224" s="203" t="s">
        <v>459</v>
      </c>
    </row>
    <row r="225" spans="1:17" ht="89.25" customHeight="1" x14ac:dyDescent="0.4">
      <c r="A225" s="426">
        <v>7</v>
      </c>
      <c r="B225" s="144" t="s">
        <v>460</v>
      </c>
      <c r="C225" s="204" t="s">
        <v>461</v>
      </c>
      <c r="D225" s="150">
        <v>3210</v>
      </c>
      <c r="E225" s="54">
        <v>15000000</v>
      </c>
      <c r="F225" s="54">
        <f>20376582-923772-95228</f>
        <v>19357582</v>
      </c>
      <c r="G225" s="54">
        <f>10086000+5376582+3895000</f>
        <v>19357582</v>
      </c>
      <c r="H225" s="54">
        <f>F225-G225</f>
        <v>0</v>
      </c>
      <c r="I225" s="54">
        <v>0</v>
      </c>
      <c r="J225" s="54"/>
      <c r="K225" s="54">
        <v>0</v>
      </c>
      <c r="L225" s="54">
        <v>0</v>
      </c>
      <c r="M225" s="54">
        <v>0</v>
      </c>
      <c r="N225" s="54"/>
      <c r="O225" s="54"/>
      <c r="P225" s="157"/>
      <c r="Q225" s="35"/>
    </row>
    <row r="226" spans="1:17" ht="104.25" customHeight="1" x14ac:dyDescent="0.4">
      <c r="A226" s="427"/>
      <c r="B226" s="144" t="s">
        <v>462</v>
      </c>
      <c r="C226" s="205" t="s">
        <v>463</v>
      </c>
      <c r="D226" s="150">
        <v>3210</v>
      </c>
      <c r="E226" s="54">
        <v>1400000</v>
      </c>
      <c r="F226" s="54">
        <f>1400000-10000</f>
        <v>1390000</v>
      </c>
      <c r="G226" s="54">
        <f>1305000</f>
        <v>1305000</v>
      </c>
      <c r="H226" s="54">
        <f>F226-G226</f>
        <v>85000</v>
      </c>
      <c r="I226" s="54">
        <v>1400951</v>
      </c>
      <c r="J226" s="157" t="s">
        <v>464</v>
      </c>
      <c r="K226" s="136">
        <f>40000000-40000000</f>
        <v>0</v>
      </c>
      <c r="L226" s="136">
        <v>0</v>
      </c>
      <c r="M226" s="136">
        <v>0</v>
      </c>
      <c r="N226" s="54"/>
      <c r="O226" s="54">
        <v>82406922.599999994</v>
      </c>
      <c r="P226" s="53" t="s">
        <v>465</v>
      </c>
      <c r="Q226" s="35"/>
    </row>
    <row r="227" spans="1:17" ht="125.25" customHeight="1" x14ac:dyDescent="0.4">
      <c r="A227" s="427"/>
      <c r="B227" s="144" t="s">
        <v>466</v>
      </c>
      <c r="C227" s="205" t="s">
        <v>467</v>
      </c>
      <c r="D227" s="150">
        <v>3210</v>
      </c>
      <c r="E227" s="54">
        <v>0</v>
      </c>
      <c r="F227" s="54">
        <f>1500000-31107.12</f>
        <v>1468892.88</v>
      </c>
      <c r="G227" s="54">
        <v>845548.71</v>
      </c>
      <c r="H227" s="54">
        <f>F227-G227</f>
        <v>623344.16999999993</v>
      </c>
      <c r="I227" s="54">
        <v>0</v>
      </c>
      <c r="J227" s="54"/>
      <c r="K227" s="54">
        <v>0</v>
      </c>
      <c r="L227" s="54">
        <v>0</v>
      </c>
      <c r="M227" s="54">
        <v>0</v>
      </c>
      <c r="N227" s="54"/>
      <c r="O227" s="54"/>
      <c r="P227" s="39"/>
      <c r="Q227" s="35"/>
    </row>
    <row r="228" spans="1:17" ht="83.25" customHeight="1" x14ac:dyDescent="0.4">
      <c r="A228" s="427"/>
      <c r="B228" s="124" t="s">
        <v>468</v>
      </c>
      <c r="C228" s="206" t="s">
        <v>469</v>
      </c>
      <c r="D228" s="150">
        <v>3210</v>
      </c>
      <c r="E228" s="136">
        <v>0</v>
      </c>
      <c r="F228" s="136">
        <f>13000000+8837100-1119916</f>
        <v>20717184</v>
      </c>
      <c r="G228" s="136">
        <v>12798000</v>
      </c>
      <c r="H228" s="136">
        <f>F228-G228</f>
        <v>7919184</v>
      </c>
      <c r="I228" s="136">
        <v>0</v>
      </c>
      <c r="J228" s="136"/>
      <c r="K228" s="136">
        <v>0</v>
      </c>
      <c r="L228" s="136">
        <v>0</v>
      </c>
      <c r="M228" s="136">
        <v>0</v>
      </c>
      <c r="N228" s="136"/>
      <c r="O228" s="136"/>
      <c r="P228" s="38"/>
      <c r="Q228" s="35"/>
    </row>
    <row r="229" spans="1:17" ht="102.75" customHeight="1" x14ac:dyDescent="0.4">
      <c r="A229" s="427"/>
      <c r="B229" s="124" t="s">
        <v>470</v>
      </c>
      <c r="C229" s="205" t="s">
        <v>471</v>
      </c>
      <c r="D229" s="150">
        <v>3210</v>
      </c>
      <c r="E229" s="136">
        <v>0</v>
      </c>
      <c r="F229" s="136">
        <f>13000000-476620</f>
        <v>12523380</v>
      </c>
      <c r="G229" s="136">
        <v>12523380</v>
      </c>
      <c r="H229" s="136">
        <f>F229-G229</f>
        <v>0</v>
      </c>
      <c r="I229" s="136">
        <v>0</v>
      </c>
      <c r="J229" s="136"/>
      <c r="K229" s="136">
        <v>0</v>
      </c>
      <c r="L229" s="136">
        <v>0</v>
      </c>
      <c r="M229" s="136">
        <v>0</v>
      </c>
      <c r="N229" s="136"/>
      <c r="O229" s="136"/>
      <c r="P229" s="38"/>
      <c r="Q229" s="35"/>
    </row>
    <row r="230" spans="1:17" ht="87.75" customHeight="1" x14ac:dyDescent="0.4">
      <c r="A230" s="207"/>
      <c r="B230" s="124" t="s">
        <v>472</v>
      </c>
      <c r="C230" s="205" t="s">
        <v>473</v>
      </c>
      <c r="D230" s="150">
        <v>3210</v>
      </c>
      <c r="E230" s="136">
        <v>0</v>
      </c>
      <c r="F230" s="136">
        <v>0</v>
      </c>
      <c r="G230" s="136">
        <v>0</v>
      </c>
      <c r="H230" s="136">
        <v>0</v>
      </c>
      <c r="I230" s="136">
        <v>0</v>
      </c>
      <c r="J230" s="136"/>
      <c r="K230" s="136">
        <v>1507316</v>
      </c>
      <c r="L230" s="136">
        <v>0</v>
      </c>
      <c r="M230" s="136">
        <v>0</v>
      </c>
      <c r="N230" s="202"/>
      <c r="O230" s="136">
        <v>1507316</v>
      </c>
      <c r="P230" s="38"/>
      <c r="Q230" s="35"/>
    </row>
    <row r="231" spans="1:17" ht="221.25" hidden="1" customHeight="1" x14ac:dyDescent="0.4">
      <c r="A231" s="207"/>
      <c r="B231" s="124" t="s">
        <v>260</v>
      </c>
      <c r="C231" s="208" t="s">
        <v>474</v>
      </c>
      <c r="D231" s="194">
        <v>3210</v>
      </c>
      <c r="E231" s="136">
        <v>0</v>
      </c>
      <c r="F231" s="136">
        <v>0</v>
      </c>
      <c r="G231" s="136">
        <v>0</v>
      </c>
      <c r="H231" s="136">
        <v>0</v>
      </c>
      <c r="I231" s="136"/>
      <c r="J231" s="136"/>
      <c r="K231" s="136">
        <f>10000000-10000000</f>
        <v>0</v>
      </c>
      <c r="L231" s="136"/>
      <c r="M231" s="136"/>
      <c r="N231" s="136"/>
      <c r="O231" s="136"/>
      <c r="P231" s="38"/>
      <c r="Q231" s="35"/>
    </row>
    <row r="232" spans="1:17" ht="96.75" customHeight="1" x14ac:dyDescent="0.4">
      <c r="A232" s="207"/>
      <c r="B232" s="124" t="s">
        <v>475</v>
      </c>
      <c r="C232" s="208" t="s">
        <v>476</v>
      </c>
      <c r="D232" s="194">
        <v>3210</v>
      </c>
      <c r="E232" s="136">
        <v>0</v>
      </c>
      <c r="F232" s="136">
        <v>0</v>
      </c>
      <c r="G232" s="136">
        <v>0</v>
      </c>
      <c r="H232" s="136">
        <v>0</v>
      </c>
      <c r="I232" s="136"/>
      <c r="J232" s="136"/>
      <c r="K232" s="136">
        <f>35350000-10350000</f>
        <v>25000000</v>
      </c>
      <c r="L232" s="136">
        <v>0</v>
      </c>
      <c r="M232" s="136">
        <v>0</v>
      </c>
      <c r="N232" s="88"/>
      <c r="O232" s="136"/>
      <c r="P232" s="38"/>
      <c r="Q232" s="35"/>
    </row>
    <row r="233" spans="1:17" ht="68.25" customHeight="1" x14ac:dyDescent="0.4">
      <c r="A233" s="209"/>
      <c r="B233" s="49"/>
      <c r="C233" s="190" t="s">
        <v>112</v>
      </c>
      <c r="D233" s="30"/>
      <c r="E233" s="49">
        <f>E225+E226+E227+E228+E229+E230+E231+E232</f>
        <v>16400000</v>
      </c>
      <c r="F233" s="49">
        <f t="shared" ref="F233:M233" si="20">F225+F226+F227+F228+F229+F230+F231+F232</f>
        <v>55457038.879999995</v>
      </c>
      <c r="G233" s="49">
        <f t="shared" si="20"/>
        <v>46829510.710000001</v>
      </c>
      <c r="H233" s="49">
        <f t="shared" si="20"/>
        <v>8627528.1699999999</v>
      </c>
      <c r="I233" s="49">
        <f t="shared" si="20"/>
        <v>1400951</v>
      </c>
      <c r="J233" s="49" t="e">
        <f t="shared" si="20"/>
        <v>#VALUE!</v>
      </c>
      <c r="K233" s="49">
        <f t="shared" si="20"/>
        <v>26507316</v>
      </c>
      <c r="L233" s="49">
        <f t="shared" si="20"/>
        <v>0</v>
      </c>
      <c r="M233" s="49">
        <f t="shared" si="20"/>
        <v>0</v>
      </c>
      <c r="N233" s="49"/>
      <c r="O233" s="49">
        <f>O225+O226+O227+O228+O229+O230</f>
        <v>83914238.599999994</v>
      </c>
      <c r="P233" s="49"/>
      <c r="Q233" s="35"/>
    </row>
    <row r="234" spans="1:17" ht="47.25" customHeight="1" x14ac:dyDescent="0.4">
      <c r="A234" s="406" t="s">
        <v>477</v>
      </c>
      <c r="B234" s="407"/>
      <c r="C234" s="407"/>
      <c r="D234" s="407"/>
      <c r="E234" s="407"/>
      <c r="F234" s="407"/>
      <c r="G234" s="407"/>
      <c r="H234" s="407"/>
      <c r="I234" s="407"/>
      <c r="J234" s="407"/>
      <c r="K234" s="407"/>
      <c r="L234" s="407"/>
      <c r="M234" s="407"/>
      <c r="N234" s="407"/>
      <c r="O234" s="407"/>
      <c r="P234" s="436"/>
      <c r="Q234" s="35"/>
    </row>
    <row r="235" spans="1:17" ht="104.25" customHeight="1" x14ac:dyDescent="0.4">
      <c r="A235" s="426">
        <v>8</v>
      </c>
      <c r="B235" s="124" t="s">
        <v>303</v>
      </c>
      <c r="C235" s="191" t="s">
        <v>478</v>
      </c>
      <c r="D235" s="150">
        <v>3210</v>
      </c>
      <c r="E235" s="144">
        <v>0</v>
      </c>
      <c r="F235" s="176">
        <v>0</v>
      </c>
      <c r="G235" s="144">
        <v>0</v>
      </c>
      <c r="H235" s="176">
        <f>F235-G235</f>
        <v>0</v>
      </c>
      <c r="I235" s="176">
        <f>I236+I237+I238+I239</f>
        <v>8661095</v>
      </c>
      <c r="J235" s="176"/>
      <c r="K235" s="176">
        <f>K236+K237+K238+K239</f>
        <v>10829500</v>
      </c>
      <c r="L235" s="176">
        <v>23574600</v>
      </c>
      <c r="M235" s="176">
        <v>19691200</v>
      </c>
      <c r="N235" s="105"/>
      <c r="O235" s="144">
        <f>O236+O237+O238+O239</f>
        <v>18979907</v>
      </c>
      <c r="P235" s="144"/>
      <c r="Q235" s="35"/>
    </row>
    <row r="236" spans="1:17" ht="69" customHeight="1" x14ac:dyDescent="0.4">
      <c r="A236" s="427"/>
      <c r="B236" s="124"/>
      <c r="C236" s="210" t="s">
        <v>107</v>
      </c>
      <c r="D236" s="150"/>
      <c r="E236" s="136">
        <v>0</v>
      </c>
      <c r="F236" s="136">
        <v>0</v>
      </c>
      <c r="G236" s="136">
        <v>0</v>
      </c>
      <c r="H236" s="136">
        <v>0</v>
      </c>
      <c r="I236" s="198">
        <v>3995142</v>
      </c>
      <c r="J236" s="176"/>
      <c r="K236" s="198">
        <f>3430441+2375738</f>
        <v>5806179</v>
      </c>
      <c r="L236" s="198"/>
      <c r="M236" s="198"/>
      <c r="N236" s="176"/>
      <c r="O236" s="211">
        <v>10874827</v>
      </c>
      <c r="P236" s="144"/>
      <c r="Q236" s="35"/>
    </row>
    <row r="237" spans="1:17" ht="57.75" customHeight="1" x14ac:dyDescent="0.4">
      <c r="A237" s="427"/>
      <c r="B237" s="124"/>
      <c r="C237" s="210" t="s">
        <v>108</v>
      </c>
      <c r="D237" s="150"/>
      <c r="E237" s="136">
        <v>0</v>
      </c>
      <c r="F237" s="136">
        <v>0</v>
      </c>
      <c r="G237" s="136">
        <v>0</v>
      </c>
      <c r="H237" s="136">
        <v>0</v>
      </c>
      <c r="I237" s="198">
        <v>878931</v>
      </c>
      <c r="J237" s="176"/>
      <c r="K237" s="198">
        <f>754697+522662</f>
        <v>1277359</v>
      </c>
      <c r="L237" s="198"/>
      <c r="M237" s="198"/>
      <c r="N237" s="176"/>
      <c r="O237" s="211">
        <v>2392462</v>
      </c>
      <c r="P237" s="144"/>
      <c r="Q237" s="35"/>
    </row>
    <row r="238" spans="1:17" ht="57.75" customHeight="1" x14ac:dyDescent="0.4">
      <c r="A238" s="427"/>
      <c r="B238" s="124"/>
      <c r="C238" s="210" t="s">
        <v>220</v>
      </c>
      <c r="D238" s="150"/>
      <c r="E238" s="136">
        <v>0</v>
      </c>
      <c r="F238" s="136">
        <v>0</v>
      </c>
      <c r="G238" s="136">
        <v>0</v>
      </c>
      <c r="H238" s="136">
        <v>0</v>
      </c>
      <c r="I238" s="198">
        <v>691982</v>
      </c>
      <c r="J238" s="176"/>
      <c r="K238" s="198">
        <f>691982</f>
        <v>691982</v>
      </c>
      <c r="L238" s="198"/>
      <c r="M238" s="198"/>
      <c r="N238" s="176"/>
      <c r="O238" s="211">
        <v>691982</v>
      </c>
      <c r="P238" s="144"/>
      <c r="Q238" s="35"/>
    </row>
    <row r="239" spans="1:17" ht="57.75" customHeight="1" x14ac:dyDescent="0.4">
      <c r="A239" s="427"/>
      <c r="B239" s="124"/>
      <c r="C239" s="210" t="s">
        <v>211</v>
      </c>
      <c r="D239" s="150"/>
      <c r="E239" s="136">
        <v>0</v>
      </c>
      <c r="F239" s="136">
        <v>0</v>
      </c>
      <c r="G239" s="136">
        <v>0</v>
      </c>
      <c r="H239" s="136">
        <v>0</v>
      </c>
      <c r="I239" s="198">
        <v>3095040</v>
      </c>
      <c r="J239" s="176"/>
      <c r="K239" s="198">
        <f>3033980+20000</f>
        <v>3053980</v>
      </c>
      <c r="L239" s="198"/>
      <c r="M239" s="198"/>
      <c r="N239" s="176"/>
      <c r="O239" s="211">
        <v>5020636</v>
      </c>
      <c r="P239" s="144"/>
      <c r="Q239" s="35"/>
    </row>
    <row r="240" spans="1:17" ht="133.5" hidden="1" customHeight="1" x14ac:dyDescent="0.4">
      <c r="A240" s="427"/>
      <c r="B240" s="124" t="s">
        <v>298</v>
      </c>
      <c r="C240" s="191" t="s">
        <v>479</v>
      </c>
      <c r="D240" s="150">
        <v>3210</v>
      </c>
      <c r="E240" s="144">
        <v>0</v>
      </c>
      <c r="F240" s="144">
        <v>0</v>
      </c>
      <c r="G240" s="144">
        <v>0</v>
      </c>
      <c r="H240" s="176">
        <f>F240-G240</f>
        <v>0</v>
      </c>
      <c r="I240" s="176">
        <f>28864661</f>
        <v>28864661</v>
      </c>
      <c r="J240" s="176"/>
      <c r="K240" s="176">
        <v>0</v>
      </c>
      <c r="L240" s="176"/>
      <c r="M240" s="176"/>
      <c r="N240" s="176"/>
      <c r="O240" s="144">
        <f>55268450</f>
        <v>55268450</v>
      </c>
      <c r="P240" s="38"/>
      <c r="Q240" s="35"/>
    </row>
    <row r="241" spans="1:786" ht="133.5" hidden="1" customHeight="1" x14ac:dyDescent="0.4">
      <c r="A241" s="427"/>
      <c r="B241" s="124" t="s">
        <v>480</v>
      </c>
      <c r="C241" s="191" t="s">
        <v>481</v>
      </c>
      <c r="D241" s="150">
        <v>3210</v>
      </c>
      <c r="E241" s="144">
        <v>0</v>
      </c>
      <c r="F241" s="144">
        <v>0</v>
      </c>
      <c r="G241" s="144">
        <v>0</v>
      </c>
      <c r="H241" s="144">
        <f>F241-G241</f>
        <v>0</v>
      </c>
      <c r="I241" s="144">
        <v>0</v>
      </c>
      <c r="J241" s="144"/>
      <c r="K241" s="144">
        <v>0</v>
      </c>
      <c r="L241" s="144"/>
      <c r="M241" s="144"/>
      <c r="N241" s="144"/>
      <c r="O241" s="144">
        <v>2011567</v>
      </c>
      <c r="P241" s="212" t="s">
        <v>482</v>
      </c>
      <c r="Q241" s="35"/>
    </row>
    <row r="242" spans="1:786" s="197" customFormat="1" ht="231.75" hidden="1" customHeight="1" x14ac:dyDescent="0.4">
      <c r="A242" s="427"/>
      <c r="B242" s="124" t="s">
        <v>468</v>
      </c>
      <c r="C242" s="125" t="s">
        <v>483</v>
      </c>
      <c r="D242" s="150">
        <v>3122</v>
      </c>
      <c r="E242" s="200">
        <v>0</v>
      </c>
      <c r="F242" s="200">
        <v>0</v>
      </c>
      <c r="G242" s="200">
        <v>0</v>
      </c>
      <c r="H242" s="144">
        <f>F242-G242</f>
        <v>0</v>
      </c>
      <c r="I242" s="200">
        <v>0</v>
      </c>
      <c r="J242" s="200"/>
      <c r="K242" s="200"/>
      <c r="L242" s="200"/>
      <c r="M242" s="200"/>
      <c r="N242" s="200"/>
      <c r="O242" s="200">
        <f>338570424-1469860.75+0.75+1500000</f>
        <v>338600564</v>
      </c>
      <c r="P242" s="38"/>
      <c r="Q242" s="35"/>
    </row>
    <row r="243" spans="1:786" ht="68.25" customHeight="1" x14ac:dyDescent="0.4">
      <c r="A243" s="428"/>
      <c r="B243" s="49"/>
      <c r="C243" s="190" t="s">
        <v>112</v>
      </c>
      <c r="D243" s="30"/>
      <c r="E243" s="49">
        <f>E235+E240+E241+E242</f>
        <v>0</v>
      </c>
      <c r="F243" s="49">
        <f>F235+F240+F241+F242</f>
        <v>0</v>
      </c>
      <c r="G243" s="49">
        <f>G235+G240+G241+G242</f>
        <v>0</v>
      </c>
      <c r="H243" s="49">
        <f>H235+H240+H241+H242</f>
        <v>0</v>
      </c>
      <c r="I243" s="49">
        <f>I235+I240+I241+I242</f>
        <v>37525756</v>
      </c>
      <c r="J243" s="49"/>
      <c r="K243" s="49">
        <f>K235+K240+K241</f>
        <v>10829500</v>
      </c>
      <c r="L243" s="49">
        <f>L235+L240+L241</f>
        <v>23574600</v>
      </c>
      <c r="M243" s="49">
        <f>M235+M240+M241</f>
        <v>19691200</v>
      </c>
      <c r="N243" s="49"/>
      <c r="O243" s="49">
        <f>O235+O240+O241+O242</f>
        <v>414860488</v>
      </c>
      <c r="P243" s="49"/>
      <c r="Q243" s="35"/>
    </row>
    <row r="244" spans="1:786" ht="57" customHeight="1" x14ac:dyDescent="0.4">
      <c r="A244" s="421" t="s">
        <v>372</v>
      </c>
      <c r="B244" s="422"/>
      <c r="C244" s="422"/>
      <c r="D244" s="422"/>
      <c r="E244" s="422"/>
      <c r="F244" s="422"/>
      <c r="G244" s="422"/>
      <c r="H244" s="422"/>
      <c r="I244" s="422"/>
      <c r="J244" s="422"/>
      <c r="K244" s="422"/>
      <c r="L244" s="422"/>
      <c r="M244" s="422"/>
      <c r="N244" s="422"/>
      <c r="O244" s="422"/>
      <c r="P244" s="422"/>
      <c r="Q244" s="35"/>
    </row>
    <row r="245" spans="1:786" ht="87" customHeight="1" x14ac:dyDescent="0.4">
      <c r="A245" s="213" t="s">
        <v>367</v>
      </c>
      <c r="B245" s="124" t="s">
        <v>368</v>
      </c>
      <c r="C245" s="140" t="s">
        <v>484</v>
      </c>
      <c r="D245" s="150">
        <v>3210</v>
      </c>
      <c r="E245" s="54">
        <v>0</v>
      </c>
      <c r="F245" s="54">
        <v>0</v>
      </c>
      <c r="G245" s="54">
        <v>0</v>
      </c>
      <c r="H245" s="54">
        <v>0</v>
      </c>
      <c r="I245" s="54">
        <v>0</v>
      </c>
      <c r="J245" s="54"/>
      <c r="K245" s="136">
        <v>69000</v>
      </c>
      <c r="L245" s="136">
        <v>0</v>
      </c>
      <c r="M245" s="136">
        <v>0</v>
      </c>
      <c r="N245" s="54"/>
      <c r="O245" s="136">
        <v>69000</v>
      </c>
      <c r="P245" s="54"/>
      <c r="Q245" s="35"/>
    </row>
    <row r="246" spans="1:786" s="161" customFormat="1" ht="39.75" customHeight="1" x14ac:dyDescent="0.4">
      <c r="A246" s="158"/>
      <c r="B246" s="158"/>
      <c r="C246" s="159" t="s">
        <v>112</v>
      </c>
      <c r="D246" s="155"/>
      <c r="E246" s="139">
        <f>E245</f>
        <v>0</v>
      </c>
      <c r="F246" s="139">
        <f>F245</f>
        <v>0</v>
      </c>
      <c r="G246" s="139">
        <f>G245</f>
        <v>0</v>
      </c>
      <c r="H246" s="139">
        <f>F246-G246</f>
        <v>0</v>
      </c>
      <c r="I246" s="139">
        <v>0</v>
      </c>
      <c r="J246" s="139"/>
      <c r="K246" s="139">
        <f>K245</f>
        <v>69000</v>
      </c>
      <c r="L246" s="139">
        <f>L245</f>
        <v>0</v>
      </c>
      <c r="M246" s="139">
        <f>M245</f>
        <v>0</v>
      </c>
      <c r="N246" s="139"/>
      <c r="O246" s="139">
        <f>O245</f>
        <v>69000</v>
      </c>
      <c r="P246" s="139"/>
      <c r="Q246" s="35"/>
      <c r="R246" s="160"/>
      <c r="S246" s="160"/>
      <c r="T246" s="160"/>
      <c r="U246" s="160"/>
      <c r="V246" s="160"/>
      <c r="W246" s="160"/>
      <c r="X246" s="160"/>
      <c r="Y246" s="160"/>
      <c r="Z246" s="160"/>
      <c r="AA246" s="160"/>
      <c r="AB246" s="160"/>
      <c r="AC246" s="160"/>
      <c r="AD246" s="160"/>
      <c r="AE246" s="160"/>
      <c r="AF246" s="160"/>
      <c r="AG246" s="160"/>
      <c r="AH246" s="160"/>
      <c r="AI246" s="160"/>
      <c r="AJ246" s="160"/>
      <c r="AK246" s="160"/>
      <c r="AL246" s="160"/>
      <c r="AM246" s="160"/>
      <c r="AN246" s="160"/>
      <c r="AO246" s="160"/>
      <c r="AP246" s="160"/>
      <c r="AQ246" s="160"/>
      <c r="AR246" s="160"/>
      <c r="AS246" s="160"/>
      <c r="AT246" s="160"/>
      <c r="AU246" s="160"/>
      <c r="AV246" s="160"/>
      <c r="AW246" s="160"/>
      <c r="AX246" s="160"/>
      <c r="AY246" s="160"/>
      <c r="AZ246" s="160"/>
      <c r="BA246" s="160"/>
      <c r="BB246" s="160"/>
      <c r="BC246" s="160"/>
      <c r="BD246" s="160"/>
      <c r="BE246" s="160"/>
      <c r="BF246" s="160"/>
      <c r="BG246" s="160"/>
      <c r="BH246" s="160"/>
      <c r="BI246" s="160"/>
      <c r="BJ246" s="160"/>
      <c r="BK246" s="160"/>
      <c r="BL246" s="160"/>
      <c r="BM246" s="160"/>
      <c r="BN246" s="160"/>
      <c r="BO246" s="160"/>
      <c r="BP246" s="160"/>
      <c r="BQ246" s="160"/>
      <c r="BR246" s="160"/>
      <c r="BS246" s="160"/>
      <c r="BT246" s="160"/>
      <c r="BU246" s="160"/>
      <c r="BV246" s="160"/>
      <c r="BW246" s="160"/>
      <c r="BX246" s="160"/>
      <c r="BY246" s="160"/>
      <c r="BZ246" s="160"/>
      <c r="CA246" s="160"/>
      <c r="CB246" s="160"/>
      <c r="CC246" s="160"/>
      <c r="CD246" s="160"/>
      <c r="CE246" s="160"/>
      <c r="CF246" s="160"/>
      <c r="CG246" s="160"/>
      <c r="CH246" s="160"/>
      <c r="CI246" s="160"/>
      <c r="CJ246" s="160"/>
      <c r="CK246" s="160"/>
      <c r="CL246" s="160"/>
      <c r="CM246" s="160"/>
      <c r="CN246" s="160"/>
      <c r="CO246" s="160"/>
      <c r="CP246" s="160"/>
      <c r="CQ246" s="160"/>
      <c r="CR246" s="160"/>
      <c r="CS246" s="160"/>
      <c r="CT246" s="160"/>
      <c r="CU246" s="160"/>
      <c r="CV246" s="160"/>
      <c r="CW246" s="160"/>
      <c r="CX246" s="160"/>
      <c r="CY246" s="160"/>
      <c r="CZ246" s="160"/>
      <c r="DA246" s="160"/>
      <c r="DB246" s="160"/>
      <c r="DC246" s="160"/>
      <c r="DD246" s="160"/>
      <c r="DE246" s="160"/>
      <c r="DF246" s="160"/>
      <c r="DG246" s="160"/>
      <c r="DH246" s="160"/>
      <c r="DI246" s="160"/>
      <c r="DJ246" s="160"/>
      <c r="DK246" s="160"/>
      <c r="DL246" s="160"/>
      <c r="DM246" s="160"/>
      <c r="DN246" s="160"/>
      <c r="DO246" s="160"/>
      <c r="DP246" s="160"/>
      <c r="DQ246" s="160"/>
      <c r="DR246" s="160"/>
      <c r="DS246" s="160"/>
      <c r="DT246" s="160"/>
      <c r="DU246" s="160"/>
      <c r="DV246" s="160"/>
      <c r="DW246" s="160"/>
      <c r="DX246" s="160"/>
      <c r="DY246" s="160"/>
      <c r="DZ246" s="160"/>
      <c r="EA246" s="160"/>
      <c r="EB246" s="160"/>
      <c r="EC246" s="160"/>
      <c r="ED246" s="160"/>
      <c r="EE246" s="160"/>
      <c r="EF246" s="160"/>
      <c r="EG246" s="160"/>
      <c r="EH246" s="160"/>
      <c r="EI246" s="160"/>
      <c r="EJ246" s="160"/>
      <c r="EK246" s="160"/>
      <c r="EL246" s="160"/>
      <c r="EM246" s="160"/>
      <c r="EN246" s="160"/>
      <c r="EO246" s="160"/>
      <c r="EP246" s="160"/>
      <c r="EQ246" s="160"/>
      <c r="ER246" s="160"/>
      <c r="ES246" s="160"/>
      <c r="ET246" s="160"/>
      <c r="EU246" s="160"/>
      <c r="EV246" s="160"/>
      <c r="EW246" s="160"/>
      <c r="EX246" s="160"/>
      <c r="EY246" s="160"/>
      <c r="EZ246" s="160"/>
      <c r="FA246" s="160"/>
      <c r="FB246" s="160"/>
      <c r="FC246" s="160"/>
      <c r="FD246" s="160"/>
      <c r="FE246" s="160"/>
      <c r="FF246" s="160"/>
      <c r="FG246" s="160"/>
      <c r="FH246" s="160"/>
      <c r="FI246" s="160"/>
      <c r="FJ246" s="160"/>
      <c r="FK246" s="160"/>
      <c r="FL246" s="160"/>
      <c r="FM246" s="160"/>
      <c r="FN246" s="160"/>
      <c r="FO246" s="160"/>
      <c r="FP246" s="160"/>
      <c r="FQ246" s="160"/>
      <c r="FR246" s="160"/>
      <c r="FS246" s="160"/>
      <c r="FT246" s="160"/>
      <c r="FU246" s="160"/>
      <c r="FV246" s="160"/>
      <c r="FW246" s="160"/>
      <c r="FX246" s="160"/>
      <c r="FY246" s="160"/>
      <c r="FZ246" s="160"/>
      <c r="GA246" s="160"/>
      <c r="GB246" s="160"/>
      <c r="GC246" s="160"/>
      <c r="GD246" s="160"/>
      <c r="GE246" s="160"/>
      <c r="GF246" s="160"/>
      <c r="GG246" s="160"/>
      <c r="GH246" s="160"/>
      <c r="GI246" s="160"/>
      <c r="GJ246" s="160"/>
      <c r="GK246" s="160"/>
      <c r="GL246" s="160"/>
      <c r="GM246" s="160"/>
      <c r="GN246" s="160"/>
      <c r="GO246" s="160"/>
      <c r="GP246" s="160"/>
      <c r="GQ246" s="160"/>
      <c r="GR246" s="160"/>
      <c r="GS246" s="160"/>
      <c r="GT246" s="160"/>
      <c r="GU246" s="160"/>
      <c r="GV246" s="160"/>
      <c r="GW246" s="160"/>
      <c r="GX246" s="160"/>
      <c r="GY246" s="160"/>
      <c r="GZ246" s="160"/>
      <c r="HA246" s="160"/>
      <c r="HB246" s="160"/>
      <c r="HC246" s="160"/>
      <c r="HD246" s="160"/>
      <c r="HE246" s="160"/>
      <c r="HF246" s="160"/>
      <c r="HG246" s="160"/>
      <c r="HH246" s="160"/>
      <c r="HI246" s="160"/>
      <c r="HJ246" s="160"/>
      <c r="HK246" s="160"/>
      <c r="HL246" s="160"/>
      <c r="HM246" s="160"/>
      <c r="HN246" s="160"/>
      <c r="HO246" s="160"/>
      <c r="HP246" s="160"/>
      <c r="HQ246" s="160"/>
      <c r="HR246" s="160"/>
      <c r="HS246" s="160"/>
      <c r="HT246" s="160"/>
      <c r="HU246" s="160"/>
      <c r="HV246" s="160"/>
      <c r="HW246" s="160"/>
      <c r="HX246" s="160"/>
      <c r="HY246" s="160"/>
      <c r="HZ246" s="160"/>
      <c r="IA246" s="160"/>
      <c r="IB246" s="160"/>
      <c r="IC246" s="160"/>
      <c r="ID246" s="160"/>
      <c r="IE246" s="160"/>
      <c r="IF246" s="160"/>
      <c r="IG246" s="160"/>
      <c r="IH246" s="160"/>
      <c r="II246" s="160"/>
      <c r="IJ246" s="160"/>
      <c r="IK246" s="160"/>
      <c r="IL246" s="160"/>
      <c r="IM246" s="160"/>
      <c r="IN246" s="160"/>
      <c r="IO246" s="160"/>
      <c r="IP246" s="160"/>
      <c r="IQ246" s="160"/>
      <c r="IR246" s="160"/>
      <c r="IS246" s="160"/>
      <c r="IT246" s="160"/>
      <c r="IU246" s="160"/>
      <c r="IV246" s="160"/>
      <c r="IW246" s="160"/>
      <c r="IX246" s="160"/>
      <c r="IY246" s="160"/>
      <c r="IZ246" s="160"/>
      <c r="JA246" s="160"/>
      <c r="JB246" s="160"/>
      <c r="JC246" s="160"/>
      <c r="JD246" s="160"/>
      <c r="JE246" s="160"/>
      <c r="JF246" s="160"/>
      <c r="JG246" s="160"/>
      <c r="JH246" s="160"/>
      <c r="JI246" s="160"/>
      <c r="JJ246" s="160"/>
      <c r="JK246" s="160"/>
      <c r="JL246" s="160"/>
      <c r="JM246" s="160"/>
      <c r="JN246" s="160"/>
      <c r="JO246" s="160"/>
      <c r="JP246" s="160"/>
      <c r="JQ246" s="160"/>
      <c r="JR246" s="160"/>
      <c r="JS246" s="160"/>
      <c r="JT246" s="160"/>
      <c r="JU246" s="160"/>
      <c r="JV246" s="160"/>
      <c r="JW246" s="160"/>
      <c r="JX246" s="160"/>
      <c r="JY246" s="160"/>
      <c r="JZ246" s="160"/>
      <c r="KA246" s="160"/>
      <c r="KB246" s="160"/>
      <c r="KC246" s="160"/>
      <c r="KD246" s="160"/>
      <c r="KE246" s="160"/>
      <c r="KF246" s="160"/>
      <c r="KG246" s="160"/>
      <c r="KH246" s="160"/>
      <c r="KI246" s="160"/>
      <c r="KJ246" s="160"/>
      <c r="KK246" s="160"/>
      <c r="KL246" s="160"/>
      <c r="KM246" s="160"/>
      <c r="KN246" s="160"/>
      <c r="KO246" s="160"/>
      <c r="KP246" s="160"/>
      <c r="KQ246" s="160"/>
      <c r="KR246" s="160"/>
      <c r="KS246" s="160"/>
      <c r="KT246" s="160"/>
      <c r="KU246" s="160"/>
      <c r="KV246" s="160"/>
      <c r="KW246" s="160"/>
      <c r="KX246" s="160"/>
      <c r="KY246" s="160"/>
      <c r="KZ246" s="160"/>
      <c r="LA246" s="160"/>
      <c r="LB246" s="160"/>
      <c r="LC246" s="160"/>
      <c r="LD246" s="160"/>
      <c r="LE246" s="160"/>
      <c r="LF246" s="160"/>
      <c r="LG246" s="160"/>
      <c r="LH246" s="160"/>
      <c r="LI246" s="160"/>
      <c r="LJ246" s="160"/>
      <c r="LK246" s="160"/>
      <c r="LL246" s="160"/>
      <c r="LM246" s="160"/>
      <c r="LN246" s="160"/>
      <c r="LO246" s="160"/>
      <c r="LP246" s="160"/>
      <c r="LQ246" s="160"/>
      <c r="LR246" s="160"/>
      <c r="LS246" s="160"/>
      <c r="LT246" s="160"/>
      <c r="LU246" s="160"/>
      <c r="LV246" s="160"/>
      <c r="LW246" s="160"/>
      <c r="LX246" s="160"/>
      <c r="LY246" s="160"/>
      <c r="LZ246" s="160"/>
      <c r="MA246" s="160"/>
      <c r="MB246" s="160"/>
      <c r="MC246" s="160"/>
      <c r="MD246" s="160"/>
      <c r="ME246" s="160"/>
      <c r="MF246" s="160"/>
      <c r="MG246" s="160"/>
      <c r="MH246" s="160"/>
      <c r="MI246" s="160"/>
      <c r="MJ246" s="160"/>
      <c r="MK246" s="160"/>
      <c r="ML246" s="160"/>
      <c r="MM246" s="160"/>
      <c r="MN246" s="160"/>
      <c r="MO246" s="160"/>
      <c r="MP246" s="160"/>
      <c r="MQ246" s="160"/>
      <c r="MR246" s="160"/>
      <c r="MS246" s="160"/>
      <c r="MT246" s="160"/>
      <c r="MU246" s="160"/>
      <c r="MV246" s="160"/>
      <c r="MW246" s="160"/>
      <c r="MX246" s="160"/>
      <c r="MY246" s="160"/>
      <c r="MZ246" s="160"/>
      <c r="NA246" s="160"/>
      <c r="NB246" s="160"/>
      <c r="NC246" s="160"/>
      <c r="ND246" s="160"/>
      <c r="NE246" s="160"/>
      <c r="NF246" s="160"/>
      <c r="NG246" s="160"/>
      <c r="NH246" s="160"/>
      <c r="NI246" s="160"/>
      <c r="NJ246" s="160"/>
      <c r="NK246" s="160"/>
      <c r="NL246" s="160"/>
      <c r="NM246" s="160"/>
      <c r="NN246" s="160"/>
      <c r="NO246" s="160"/>
      <c r="NP246" s="160"/>
      <c r="NQ246" s="160"/>
      <c r="NR246" s="160"/>
      <c r="NS246" s="160"/>
      <c r="NT246" s="160"/>
      <c r="NU246" s="160"/>
      <c r="NV246" s="160"/>
      <c r="NW246" s="160"/>
      <c r="NX246" s="160"/>
      <c r="NY246" s="160"/>
      <c r="NZ246" s="160"/>
      <c r="OA246" s="160"/>
      <c r="OB246" s="160"/>
      <c r="OC246" s="160"/>
      <c r="OD246" s="160"/>
      <c r="OE246" s="160"/>
      <c r="OF246" s="160"/>
      <c r="OG246" s="160"/>
      <c r="OH246" s="160"/>
      <c r="OI246" s="160"/>
      <c r="OJ246" s="160"/>
      <c r="OK246" s="160"/>
      <c r="OL246" s="160"/>
      <c r="OM246" s="160"/>
      <c r="ON246" s="160"/>
      <c r="OO246" s="160"/>
      <c r="OP246" s="160"/>
      <c r="OQ246" s="160"/>
      <c r="OR246" s="160"/>
      <c r="OS246" s="160"/>
      <c r="OT246" s="160"/>
      <c r="OU246" s="160"/>
      <c r="OV246" s="160"/>
      <c r="OW246" s="160"/>
      <c r="OX246" s="160"/>
      <c r="OY246" s="160"/>
      <c r="OZ246" s="160"/>
      <c r="PA246" s="160"/>
      <c r="PB246" s="160"/>
      <c r="PC246" s="160"/>
      <c r="PD246" s="160"/>
      <c r="PE246" s="160"/>
      <c r="PF246" s="160"/>
      <c r="PG246" s="160"/>
      <c r="PH246" s="160"/>
      <c r="PI246" s="160"/>
      <c r="PJ246" s="160"/>
      <c r="PK246" s="160"/>
      <c r="PL246" s="160"/>
      <c r="PM246" s="160"/>
      <c r="PN246" s="160"/>
      <c r="PO246" s="160"/>
      <c r="PP246" s="160"/>
      <c r="PQ246" s="160"/>
      <c r="PR246" s="160"/>
      <c r="PS246" s="160"/>
      <c r="PT246" s="160"/>
      <c r="PU246" s="160"/>
      <c r="PV246" s="160"/>
      <c r="PW246" s="160"/>
      <c r="PX246" s="160"/>
      <c r="PY246" s="160"/>
      <c r="PZ246" s="160"/>
      <c r="QA246" s="160"/>
      <c r="QB246" s="160"/>
      <c r="QC246" s="160"/>
      <c r="QD246" s="160"/>
      <c r="QE246" s="160"/>
      <c r="QF246" s="160"/>
      <c r="QG246" s="160"/>
      <c r="QH246" s="160"/>
      <c r="QI246" s="160"/>
      <c r="QJ246" s="160"/>
      <c r="QK246" s="160"/>
      <c r="QL246" s="160"/>
      <c r="QM246" s="160"/>
      <c r="QN246" s="160"/>
      <c r="QO246" s="160"/>
      <c r="QP246" s="160"/>
      <c r="QQ246" s="160"/>
      <c r="QR246" s="160"/>
      <c r="QS246" s="160"/>
      <c r="QT246" s="160"/>
      <c r="QU246" s="160"/>
      <c r="QV246" s="160"/>
      <c r="QW246" s="160"/>
      <c r="QX246" s="160"/>
      <c r="QY246" s="160"/>
      <c r="QZ246" s="160"/>
      <c r="RA246" s="160"/>
      <c r="RB246" s="160"/>
      <c r="RC246" s="160"/>
      <c r="RD246" s="160"/>
      <c r="RE246" s="160"/>
      <c r="RF246" s="160"/>
      <c r="RG246" s="160"/>
      <c r="RH246" s="160"/>
      <c r="RI246" s="160"/>
      <c r="RJ246" s="160"/>
      <c r="RK246" s="160"/>
      <c r="RL246" s="160"/>
      <c r="RM246" s="160"/>
      <c r="RN246" s="160"/>
      <c r="RO246" s="160"/>
      <c r="RP246" s="160"/>
      <c r="RQ246" s="160"/>
      <c r="RR246" s="160"/>
      <c r="RS246" s="160"/>
      <c r="RT246" s="160"/>
      <c r="RU246" s="160"/>
      <c r="RV246" s="160"/>
      <c r="RW246" s="160"/>
      <c r="RX246" s="160"/>
      <c r="RY246" s="160"/>
      <c r="RZ246" s="160"/>
      <c r="SA246" s="160"/>
      <c r="SB246" s="160"/>
      <c r="SC246" s="160"/>
      <c r="SD246" s="160"/>
      <c r="SE246" s="160"/>
      <c r="SF246" s="160"/>
      <c r="SG246" s="160"/>
      <c r="SH246" s="160"/>
      <c r="SI246" s="160"/>
      <c r="SJ246" s="160"/>
      <c r="SK246" s="160"/>
      <c r="SL246" s="160"/>
      <c r="SM246" s="160"/>
      <c r="SN246" s="160"/>
      <c r="SO246" s="160"/>
      <c r="SP246" s="160"/>
      <c r="SQ246" s="160"/>
      <c r="SR246" s="160"/>
      <c r="SS246" s="160"/>
      <c r="ST246" s="160"/>
      <c r="SU246" s="160"/>
      <c r="SV246" s="160"/>
      <c r="SW246" s="160"/>
      <c r="SX246" s="160"/>
      <c r="SY246" s="160"/>
      <c r="SZ246" s="160"/>
      <c r="TA246" s="160"/>
      <c r="TB246" s="160"/>
      <c r="TC246" s="160"/>
      <c r="TD246" s="160"/>
      <c r="TE246" s="160"/>
      <c r="TF246" s="160"/>
      <c r="TG246" s="160"/>
      <c r="TH246" s="160"/>
      <c r="TI246" s="160"/>
      <c r="TJ246" s="160"/>
      <c r="TK246" s="160"/>
      <c r="TL246" s="160"/>
      <c r="TM246" s="160"/>
      <c r="TN246" s="160"/>
      <c r="TO246" s="160"/>
      <c r="TP246" s="160"/>
      <c r="TQ246" s="160"/>
      <c r="TR246" s="160"/>
      <c r="TS246" s="160"/>
      <c r="TT246" s="160"/>
      <c r="TU246" s="160"/>
      <c r="TV246" s="160"/>
      <c r="TW246" s="160"/>
      <c r="TX246" s="160"/>
      <c r="TY246" s="160"/>
      <c r="TZ246" s="160"/>
      <c r="UA246" s="160"/>
      <c r="UB246" s="160"/>
      <c r="UC246" s="160"/>
      <c r="UD246" s="160"/>
      <c r="UE246" s="160"/>
      <c r="UF246" s="160"/>
      <c r="UG246" s="160"/>
      <c r="UH246" s="160"/>
      <c r="UI246" s="160"/>
      <c r="UJ246" s="160"/>
      <c r="UK246" s="160"/>
      <c r="UL246" s="160"/>
      <c r="UM246" s="160"/>
      <c r="UN246" s="160"/>
      <c r="UO246" s="160"/>
      <c r="UP246" s="160"/>
      <c r="UQ246" s="160"/>
      <c r="UR246" s="160"/>
      <c r="US246" s="160"/>
      <c r="UT246" s="160"/>
      <c r="UU246" s="160"/>
      <c r="UV246" s="160"/>
      <c r="UW246" s="160"/>
      <c r="UX246" s="160"/>
      <c r="UY246" s="160"/>
      <c r="UZ246" s="160"/>
      <c r="VA246" s="160"/>
      <c r="VB246" s="160"/>
      <c r="VC246" s="160"/>
      <c r="VD246" s="160"/>
      <c r="VE246" s="160"/>
      <c r="VF246" s="160"/>
      <c r="VG246" s="160"/>
      <c r="VH246" s="160"/>
      <c r="VI246" s="160"/>
      <c r="VJ246" s="160"/>
      <c r="VK246" s="160"/>
      <c r="VL246" s="160"/>
      <c r="VM246" s="160"/>
      <c r="VN246" s="160"/>
      <c r="VO246" s="160"/>
      <c r="VP246" s="160"/>
      <c r="VQ246" s="160"/>
      <c r="VR246" s="160"/>
      <c r="VS246" s="160"/>
      <c r="VT246" s="160"/>
      <c r="VU246" s="160"/>
      <c r="VV246" s="160"/>
      <c r="VW246" s="160"/>
      <c r="VX246" s="160"/>
      <c r="VY246" s="160"/>
      <c r="VZ246" s="160"/>
      <c r="WA246" s="160"/>
      <c r="WB246" s="160"/>
      <c r="WC246" s="160"/>
      <c r="WD246" s="160"/>
      <c r="WE246" s="160"/>
      <c r="WF246" s="160"/>
      <c r="WG246" s="160"/>
      <c r="WH246" s="160"/>
      <c r="WI246" s="160"/>
      <c r="WJ246" s="160"/>
      <c r="WK246" s="160"/>
      <c r="WL246" s="160"/>
      <c r="WM246" s="160"/>
      <c r="WN246" s="160"/>
      <c r="WO246" s="160"/>
      <c r="WP246" s="160"/>
      <c r="WQ246" s="160"/>
      <c r="WR246" s="160"/>
      <c r="WS246" s="160"/>
      <c r="WT246" s="160"/>
      <c r="WU246" s="160"/>
      <c r="WV246" s="160"/>
      <c r="WW246" s="160"/>
      <c r="WX246" s="160"/>
      <c r="WY246" s="160"/>
      <c r="WZ246" s="160"/>
      <c r="XA246" s="160"/>
      <c r="XB246" s="160"/>
      <c r="XC246" s="160"/>
      <c r="XD246" s="160"/>
      <c r="XE246" s="160"/>
      <c r="XF246" s="160"/>
      <c r="XG246" s="160"/>
      <c r="XH246" s="160"/>
      <c r="XI246" s="160"/>
      <c r="XJ246" s="160"/>
      <c r="XK246" s="160"/>
      <c r="XL246" s="160"/>
      <c r="XM246" s="160"/>
      <c r="XN246" s="160"/>
      <c r="XO246" s="160"/>
      <c r="XP246" s="160"/>
      <c r="XQ246" s="160"/>
      <c r="XR246" s="160"/>
      <c r="XS246" s="160"/>
      <c r="XT246" s="160"/>
      <c r="XU246" s="160"/>
      <c r="XV246" s="160"/>
      <c r="XW246" s="160"/>
      <c r="XX246" s="160"/>
      <c r="XY246" s="160"/>
      <c r="XZ246" s="160"/>
      <c r="YA246" s="160"/>
      <c r="YB246" s="160"/>
      <c r="YC246" s="160"/>
      <c r="YD246" s="160"/>
      <c r="YE246" s="160"/>
      <c r="YF246" s="160"/>
      <c r="YG246" s="160"/>
      <c r="YH246" s="160"/>
      <c r="YI246" s="160"/>
      <c r="YJ246" s="160"/>
      <c r="YK246" s="160"/>
      <c r="YL246" s="160"/>
      <c r="YM246" s="160"/>
      <c r="YN246" s="160"/>
      <c r="YO246" s="160"/>
      <c r="YP246" s="160"/>
      <c r="YQ246" s="160"/>
      <c r="YR246" s="160"/>
      <c r="YS246" s="160"/>
      <c r="YT246" s="160"/>
      <c r="YU246" s="160"/>
      <c r="YV246" s="160"/>
      <c r="YW246" s="160"/>
      <c r="YX246" s="160"/>
      <c r="YY246" s="160"/>
      <c r="YZ246" s="160"/>
      <c r="ZA246" s="160"/>
      <c r="ZB246" s="160"/>
      <c r="ZC246" s="160"/>
      <c r="ZD246" s="160"/>
      <c r="ZE246" s="160"/>
      <c r="ZF246" s="160"/>
      <c r="ZG246" s="160"/>
      <c r="ZH246" s="160"/>
      <c r="ZI246" s="160"/>
      <c r="ZJ246" s="160"/>
      <c r="ZK246" s="160"/>
      <c r="ZL246" s="160"/>
      <c r="ZM246" s="160"/>
      <c r="ZN246" s="160"/>
      <c r="ZO246" s="160"/>
      <c r="ZP246" s="160"/>
      <c r="ZQ246" s="160"/>
      <c r="ZR246" s="160"/>
      <c r="ZS246" s="160"/>
      <c r="ZT246" s="160"/>
      <c r="ZU246" s="160"/>
      <c r="ZV246" s="160"/>
      <c r="ZW246" s="160"/>
      <c r="ZX246" s="160"/>
      <c r="ZY246" s="160"/>
      <c r="ZZ246" s="160"/>
      <c r="AAA246" s="160"/>
      <c r="AAB246" s="160"/>
      <c r="AAC246" s="160"/>
      <c r="AAD246" s="160"/>
      <c r="AAE246" s="160"/>
      <c r="AAF246" s="160"/>
      <c r="AAG246" s="160"/>
      <c r="AAH246" s="160"/>
      <c r="AAI246" s="160"/>
      <c r="AAJ246" s="160"/>
      <c r="AAK246" s="160"/>
      <c r="AAL246" s="160"/>
      <c r="AAM246" s="160"/>
      <c r="AAN246" s="160"/>
      <c r="AAO246" s="160"/>
      <c r="AAP246" s="160"/>
      <c r="AAQ246" s="160"/>
      <c r="AAR246" s="160"/>
      <c r="AAS246" s="160"/>
      <c r="AAT246" s="160"/>
      <c r="AAU246" s="160"/>
      <c r="AAV246" s="160"/>
      <c r="AAW246" s="160"/>
      <c r="AAX246" s="160"/>
      <c r="AAY246" s="160"/>
      <c r="AAZ246" s="160"/>
      <c r="ABA246" s="160"/>
      <c r="ABB246" s="160"/>
      <c r="ABC246" s="160"/>
      <c r="ABD246" s="160"/>
      <c r="ABE246" s="160"/>
      <c r="ABF246" s="160"/>
      <c r="ABG246" s="160"/>
      <c r="ABH246" s="160"/>
      <c r="ABI246" s="160"/>
      <c r="ABJ246" s="160"/>
      <c r="ABK246" s="160"/>
      <c r="ABL246" s="160"/>
      <c r="ABM246" s="160"/>
      <c r="ABN246" s="160"/>
      <c r="ABO246" s="160"/>
      <c r="ABP246" s="160"/>
      <c r="ABQ246" s="160"/>
      <c r="ABR246" s="160"/>
      <c r="ABS246" s="160"/>
      <c r="ABT246" s="160"/>
      <c r="ABU246" s="160"/>
      <c r="ABV246" s="160"/>
      <c r="ABW246" s="160"/>
      <c r="ABX246" s="160"/>
      <c r="ABY246" s="160"/>
      <c r="ABZ246" s="160"/>
      <c r="ACA246" s="160"/>
      <c r="ACB246" s="160"/>
      <c r="ACC246" s="160"/>
      <c r="ACD246" s="160"/>
      <c r="ACE246" s="160"/>
      <c r="ACF246" s="160"/>
      <c r="ACG246" s="160"/>
      <c r="ACH246" s="160"/>
      <c r="ACI246" s="160"/>
      <c r="ACJ246" s="160"/>
      <c r="ACK246" s="160"/>
      <c r="ACL246" s="160"/>
      <c r="ACM246" s="160"/>
      <c r="ACN246" s="160"/>
      <c r="ACO246" s="160"/>
      <c r="ACP246" s="160"/>
      <c r="ACQ246" s="160"/>
      <c r="ACR246" s="160"/>
      <c r="ACS246" s="160"/>
      <c r="ACT246" s="160"/>
      <c r="ACU246" s="160"/>
      <c r="ACV246" s="160"/>
      <c r="ACW246" s="160"/>
      <c r="ACX246" s="160"/>
      <c r="ACY246" s="160"/>
      <c r="ACZ246" s="160"/>
      <c r="ADA246" s="160"/>
      <c r="ADB246" s="160"/>
      <c r="ADC246" s="160"/>
      <c r="ADD246" s="160"/>
      <c r="ADE246" s="160"/>
      <c r="ADF246" s="160"/>
    </row>
    <row r="247" spans="1:786" ht="57" customHeight="1" x14ac:dyDescent="0.4">
      <c r="A247" s="421" t="s">
        <v>530</v>
      </c>
      <c r="B247" s="422"/>
      <c r="C247" s="422"/>
      <c r="D247" s="422"/>
      <c r="E247" s="422"/>
      <c r="F247" s="422"/>
      <c r="G247" s="422"/>
      <c r="H247" s="422"/>
      <c r="I247" s="422"/>
      <c r="J247" s="422"/>
      <c r="K247" s="422"/>
      <c r="L247" s="422"/>
      <c r="M247" s="422"/>
      <c r="N247" s="422"/>
      <c r="O247" s="422"/>
      <c r="P247" s="422"/>
      <c r="Q247" s="35"/>
    </row>
    <row r="248" spans="1:786" ht="99.75" customHeight="1" x14ac:dyDescent="0.4">
      <c r="A248" s="213" t="s">
        <v>373</v>
      </c>
      <c r="B248" s="124" t="s">
        <v>374</v>
      </c>
      <c r="C248" s="140" t="s">
        <v>485</v>
      </c>
      <c r="D248" s="150">
        <v>3210</v>
      </c>
      <c r="E248" s="54">
        <v>0</v>
      </c>
      <c r="F248" s="54">
        <v>0</v>
      </c>
      <c r="G248" s="54">
        <v>0</v>
      </c>
      <c r="H248" s="54">
        <v>0</v>
      </c>
      <c r="I248" s="54">
        <v>0</v>
      </c>
      <c r="J248" s="54"/>
      <c r="K248" s="136">
        <f>28000</f>
        <v>28000</v>
      </c>
      <c r="L248" s="136">
        <v>0</v>
      </c>
      <c r="M248" s="136">
        <v>0</v>
      </c>
      <c r="N248" s="54"/>
      <c r="O248" s="136">
        <v>28000</v>
      </c>
      <c r="P248" s="54"/>
      <c r="Q248" s="35"/>
    </row>
    <row r="249" spans="1:786" s="161" customFormat="1" ht="39.75" customHeight="1" x14ac:dyDescent="0.4">
      <c r="A249" s="158"/>
      <c r="B249" s="158"/>
      <c r="C249" s="159"/>
      <c r="D249" s="155"/>
      <c r="E249" s="139">
        <f>E248</f>
        <v>0</v>
      </c>
      <c r="F249" s="139">
        <f t="shared" ref="F249:O249" si="21">F248</f>
        <v>0</v>
      </c>
      <c r="G249" s="139">
        <f t="shared" si="21"/>
        <v>0</v>
      </c>
      <c r="H249" s="139">
        <f t="shared" si="21"/>
        <v>0</v>
      </c>
      <c r="I249" s="139">
        <f t="shared" si="21"/>
        <v>0</v>
      </c>
      <c r="J249" s="139"/>
      <c r="K249" s="139">
        <f t="shared" si="21"/>
        <v>28000</v>
      </c>
      <c r="M249" s="139">
        <f t="shared" si="21"/>
        <v>0</v>
      </c>
      <c r="N249" s="139"/>
      <c r="O249" s="139">
        <f t="shared" si="21"/>
        <v>28000</v>
      </c>
      <c r="P249" s="139"/>
      <c r="Q249" s="35"/>
      <c r="R249" s="160"/>
      <c r="S249" s="160"/>
      <c r="T249" s="160"/>
      <c r="U249" s="160"/>
      <c r="V249" s="160"/>
      <c r="W249" s="160"/>
      <c r="X249" s="160"/>
      <c r="Y249" s="160"/>
      <c r="Z249" s="160"/>
      <c r="AA249" s="160"/>
      <c r="AB249" s="160"/>
      <c r="AC249" s="160"/>
      <c r="AD249" s="160"/>
      <c r="AE249" s="160"/>
      <c r="AF249" s="160"/>
      <c r="AG249" s="160"/>
      <c r="AH249" s="160"/>
      <c r="AI249" s="160"/>
      <c r="AJ249" s="160"/>
      <c r="AK249" s="160"/>
      <c r="AL249" s="160"/>
      <c r="AM249" s="160"/>
      <c r="AN249" s="160"/>
      <c r="AO249" s="160"/>
      <c r="AP249" s="160"/>
      <c r="AQ249" s="160"/>
      <c r="AR249" s="160"/>
      <c r="AS249" s="160"/>
      <c r="AT249" s="160"/>
      <c r="AU249" s="160"/>
      <c r="AV249" s="160"/>
      <c r="AW249" s="160"/>
      <c r="AX249" s="160"/>
      <c r="AY249" s="160"/>
      <c r="AZ249" s="160"/>
      <c r="BA249" s="160"/>
      <c r="BB249" s="160"/>
      <c r="BC249" s="160"/>
      <c r="BD249" s="160"/>
      <c r="BE249" s="160"/>
      <c r="BF249" s="160"/>
      <c r="BG249" s="160"/>
      <c r="BH249" s="160"/>
      <c r="BI249" s="160"/>
      <c r="BJ249" s="160"/>
      <c r="BK249" s="160"/>
      <c r="BL249" s="160"/>
      <c r="BM249" s="160"/>
      <c r="BN249" s="160"/>
      <c r="BO249" s="160"/>
      <c r="BP249" s="160"/>
      <c r="BQ249" s="160"/>
      <c r="BR249" s="160"/>
      <c r="BS249" s="160"/>
      <c r="BT249" s="160"/>
      <c r="BU249" s="160"/>
      <c r="BV249" s="160"/>
      <c r="BW249" s="160"/>
      <c r="BX249" s="160"/>
      <c r="BY249" s="160"/>
      <c r="BZ249" s="160"/>
      <c r="CA249" s="160"/>
      <c r="CB249" s="160"/>
      <c r="CC249" s="160"/>
      <c r="CD249" s="160"/>
      <c r="CE249" s="160"/>
      <c r="CF249" s="160"/>
      <c r="CG249" s="160"/>
      <c r="CH249" s="160"/>
      <c r="CI249" s="160"/>
      <c r="CJ249" s="160"/>
      <c r="CK249" s="160"/>
      <c r="CL249" s="160"/>
      <c r="CM249" s="160"/>
      <c r="CN249" s="160"/>
      <c r="CO249" s="160"/>
      <c r="CP249" s="160"/>
      <c r="CQ249" s="160"/>
      <c r="CR249" s="160"/>
      <c r="CS249" s="160"/>
      <c r="CT249" s="160"/>
      <c r="CU249" s="160"/>
      <c r="CV249" s="160"/>
      <c r="CW249" s="160"/>
      <c r="CX249" s="160"/>
      <c r="CY249" s="160"/>
      <c r="CZ249" s="160"/>
      <c r="DA249" s="160"/>
      <c r="DB249" s="160"/>
      <c r="DC249" s="160"/>
      <c r="DD249" s="160"/>
      <c r="DE249" s="160"/>
      <c r="DF249" s="160"/>
      <c r="DG249" s="160"/>
      <c r="DH249" s="160"/>
      <c r="DI249" s="160"/>
      <c r="DJ249" s="160"/>
      <c r="DK249" s="160"/>
      <c r="DL249" s="160"/>
      <c r="DM249" s="160"/>
      <c r="DN249" s="160"/>
      <c r="DO249" s="160"/>
      <c r="DP249" s="160"/>
      <c r="DQ249" s="160"/>
      <c r="DR249" s="160"/>
      <c r="DS249" s="160"/>
      <c r="DT249" s="160"/>
      <c r="DU249" s="160"/>
      <c r="DV249" s="160"/>
      <c r="DW249" s="160"/>
      <c r="DX249" s="160"/>
      <c r="DY249" s="160"/>
      <c r="DZ249" s="160"/>
      <c r="EA249" s="160"/>
      <c r="EB249" s="160"/>
      <c r="EC249" s="160"/>
      <c r="ED249" s="160"/>
      <c r="EE249" s="160"/>
      <c r="EF249" s="160"/>
      <c r="EG249" s="160"/>
      <c r="EH249" s="160"/>
      <c r="EI249" s="160"/>
      <c r="EJ249" s="160"/>
      <c r="EK249" s="160"/>
      <c r="EL249" s="160"/>
      <c r="EM249" s="160"/>
      <c r="EN249" s="160"/>
      <c r="EO249" s="160"/>
      <c r="EP249" s="160"/>
      <c r="EQ249" s="160"/>
      <c r="ER249" s="160"/>
      <c r="ES249" s="160"/>
      <c r="ET249" s="160"/>
      <c r="EU249" s="160"/>
      <c r="EV249" s="160"/>
      <c r="EW249" s="160"/>
      <c r="EX249" s="160"/>
      <c r="EY249" s="160"/>
      <c r="EZ249" s="160"/>
      <c r="FA249" s="160"/>
      <c r="FB249" s="160"/>
      <c r="FC249" s="160"/>
      <c r="FD249" s="160"/>
      <c r="FE249" s="160"/>
      <c r="FF249" s="160"/>
      <c r="FG249" s="160"/>
      <c r="FH249" s="160"/>
      <c r="FI249" s="160"/>
      <c r="FJ249" s="160"/>
      <c r="FK249" s="160"/>
      <c r="FL249" s="160"/>
      <c r="FM249" s="160"/>
      <c r="FN249" s="160"/>
      <c r="FO249" s="160"/>
      <c r="FP249" s="160"/>
      <c r="FQ249" s="160"/>
      <c r="FR249" s="160"/>
      <c r="FS249" s="160"/>
      <c r="FT249" s="160"/>
      <c r="FU249" s="160"/>
      <c r="FV249" s="160"/>
      <c r="FW249" s="160"/>
      <c r="FX249" s="160"/>
      <c r="FY249" s="160"/>
      <c r="FZ249" s="160"/>
      <c r="GA249" s="160"/>
      <c r="GB249" s="160"/>
      <c r="GC249" s="160"/>
      <c r="GD249" s="160"/>
      <c r="GE249" s="160"/>
      <c r="GF249" s="160"/>
      <c r="GG249" s="160"/>
      <c r="GH249" s="160"/>
      <c r="GI249" s="160"/>
      <c r="GJ249" s="160"/>
      <c r="GK249" s="160"/>
      <c r="GL249" s="160"/>
      <c r="GM249" s="160"/>
      <c r="GN249" s="160"/>
      <c r="GO249" s="160"/>
      <c r="GP249" s="160"/>
      <c r="GQ249" s="160"/>
      <c r="GR249" s="160"/>
      <c r="GS249" s="160"/>
      <c r="GT249" s="160"/>
      <c r="GU249" s="160"/>
      <c r="GV249" s="160"/>
      <c r="GW249" s="160"/>
      <c r="GX249" s="160"/>
      <c r="GY249" s="160"/>
      <c r="GZ249" s="160"/>
      <c r="HA249" s="160"/>
      <c r="HB249" s="160"/>
      <c r="HC249" s="160"/>
      <c r="HD249" s="160"/>
      <c r="HE249" s="160"/>
      <c r="HF249" s="160"/>
      <c r="HG249" s="160"/>
      <c r="HH249" s="160"/>
      <c r="HI249" s="160"/>
      <c r="HJ249" s="160"/>
      <c r="HK249" s="160"/>
      <c r="HL249" s="160"/>
      <c r="HM249" s="160"/>
      <c r="HN249" s="160"/>
      <c r="HO249" s="160"/>
      <c r="HP249" s="160"/>
      <c r="HQ249" s="160"/>
      <c r="HR249" s="160"/>
      <c r="HS249" s="160"/>
      <c r="HT249" s="160"/>
      <c r="HU249" s="160"/>
      <c r="HV249" s="160"/>
      <c r="HW249" s="160"/>
      <c r="HX249" s="160"/>
      <c r="HY249" s="160"/>
      <c r="HZ249" s="160"/>
      <c r="IA249" s="160"/>
      <c r="IB249" s="160"/>
      <c r="IC249" s="160"/>
      <c r="ID249" s="160"/>
      <c r="IE249" s="160"/>
      <c r="IF249" s="160"/>
      <c r="IG249" s="160"/>
      <c r="IH249" s="160"/>
      <c r="II249" s="160"/>
      <c r="IJ249" s="160"/>
      <c r="IK249" s="160"/>
      <c r="IL249" s="160"/>
      <c r="IM249" s="160"/>
      <c r="IN249" s="160"/>
      <c r="IO249" s="160"/>
      <c r="IP249" s="160"/>
      <c r="IQ249" s="160"/>
      <c r="IR249" s="160"/>
      <c r="IS249" s="160"/>
      <c r="IT249" s="160"/>
      <c r="IU249" s="160"/>
      <c r="IV249" s="160"/>
      <c r="IW249" s="160"/>
      <c r="IX249" s="160"/>
      <c r="IY249" s="160"/>
      <c r="IZ249" s="160"/>
      <c r="JA249" s="160"/>
      <c r="JB249" s="160"/>
      <c r="JC249" s="160"/>
      <c r="JD249" s="160"/>
      <c r="JE249" s="160"/>
      <c r="JF249" s="160"/>
      <c r="JG249" s="160"/>
      <c r="JH249" s="160"/>
      <c r="JI249" s="160"/>
      <c r="JJ249" s="160"/>
      <c r="JK249" s="160"/>
      <c r="JL249" s="160"/>
      <c r="JM249" s="160"/>
      <c r="JN249" s="160"/>
      <c r="JO249" s="160"/>
      <c r="JP249" s="160"/>
      <c r="JQ249" s="160"/>
      <c r="JR249" s="160"/>
      <c r="JS249" s="160"/>
      <c r="JT249" s="160"/>
      <c r="JU249" s="160"/>
      <c r="JV249" s="160"/>
      <c r="JW249" s="160"/>
      <c r="JX249" s="160"/>
      <c r="JY249" s="160"/>
      <c r="JZ249" s="160"/>
      <c r="KA249" s="160"/>
      <c r="KB249" s="160"/>
      <c r="KC249" s="160"/>
      <c r="KD249" s="160"/>
      <c r="KE249" s="160"/>
      <c r="KF249" s="160"/>
      <c r="KG249" s="160"/>
      <c r="KH249" s="160"/>
      <c r="KI249" s="160"/>
      <c r="KJ249" s="160"/>
      <c r="KK249" s="160"/>
      <c r="KL249" s="160"/>
      <c r="KM249" s="160"/>
      <c r="KN249" s="160"/>
      <c r="KO249" s="160"/>
      <c r="KP249" s="160"/>
      <c r="KQ249" s="160"/>
      <c r="KR249" s="160"/>
      <c r="KS249" s="160"/>
      <c r="KT249" s="160"/>
      <c r="KU249" s="160"/>
      <c r="KV249" s="160"/>
      <c r="KW249" s="160"/>
      <c r="KX249" s="160"/>
      <c r="KY249" s="160"/>
      <c r="KZ249" s="160"/>
      <c r="LA249" s="160"/>
      <c r="LB249" s="160"/>
      <c r="LC249" s="160"/>
      <c r="LD249" s="160"/>
      <c r="LE249" s="160"/>
      <c r="LF249" s="160"/>
      <c r="LG249" s="160"/>
      <c r="LH249" s="160"/>
      <c r="LI249" s="160"/>
      <c r="LJ249" s="160"/>
      <c r="LK249" s="160"/>
      <c r="LL249" s="160"/>
      <c r="LM249" s="160"/>
      <c r="LN249" s="160"/>
      <c r="LO249" s="160"/>
      <c r="LP249" s="160"/>
      <c r="LQ249" s="160"/>
      <c r="LR249" s="160"/>
      <c r="LS249" s="160"/>
      <c r="LT249" s="160"/>
      <c r="LU249" s="160"/>
      <c r="LV249" s="160"/>
      <c r="LW249" s="160"/>
      <c r="LX249" s="160"/>
      <c r="LY249" s="160"/>
      <c r="LZ249" s="160"/>
      <c r="MA249" s="160"/>
      <c r="MB249" s="160"/>
      <c r="MC249" s="160"/>
      <c r="MD249" s="160"/>
      <c r="ME249" s="160"/>
      <c r="MF249" s="160"/>
      <c r="MG249" s="160"/>
      <c r="MH249" s="160"/>
      <c r="MI249" s="160"/>
      <c r="MJ249" s="160"/>
      <c r="MK249" s="160"/>
      <c r="ML249" s="160"/>
      <c r="MM249" s="160"/>
      <c r="MN249" s="160"/>
      <c r="MO249" s="160"/>
      <c r="MP249" s="160"/>
      <c r="MQ249" s="160"/>
      <c r="MR249" s="160"/>
      <c r="MS249" s="160"/>
      <c r="MT249" s="160"/>
      <c r="MU249" s="160"/>
      <c r="MV249" s="160"/>
      <c r="MW249" s="160"/>
      <c r="MX249" s="160"/>
      <c r="MY249" s="160"/>
      <c r="MZ249" s="160"/>
      <c r="NA249" s="160"/>
      <c r="NB249" s="160"/>
      <c r="NC249" s="160"/>
      <c r="ND249" s="160"/>
      <c r="NE249" s="160"/>
      <c r="NF249" s="160"/>
      <c r="NG249" s="160"/>
      <c r="NH249" s="160"/>
      <c r="NI249" s="160"/>
      <c r="NJ249" s="160"/>
      <c r="NK249" s="160"/>
      <c r="NL249" s="160"/>
      <c r="NM249" s="160"/>
      <c r="NN249" s="160"/>
      <c r="NO249" s="160"/>
      <c r="NP249" s="160"/>
      <c r="NQ249" s="160"/>
      <c r="NR249" s="160"/>
      <c r="NS249" s="160"/>
      <c r="NT249" s="160"/>
      <c r="NU249" s="160"/>
      <c r="NV249" s="160"/>
      <c r="NW249" s="160"/>
      <c r="NX249" s="160"/>
      <c r="NY249" s="160"/>
      <c r="NZ249" s="160"/>
      <c r="OA249" s="160"/>
      <c r="OB249" s="160"/>
      <c r="OC249" s="160"/>
      <c r="OD249" s="160"/>
      <c r="OE249" s="160"/>
      <c r="OF249" s="160"/>
      <c r="OG249" s="160"/>
      <c r="OH249" s="160"/>
      <c r="OI249" s="160"/>
      <c r="OJ249" s="160"/>
      <c r="OK249" s="160"/>
      <c r="OL249" s="160"/>
      <c r="OM249" s="160"/>
      <c r="ON249" s="160"/>
      <c r="OO249" s="160"/>
      <c r="OP249" s="160"/>
      <c r="OQ249" s="160"/>
      <c r="OR249" s="160"/>
      <c r="OS249" s="160"/>
      <c r="OT249" s="160"/>
      <c r="OU249" s="160"/>
      <c r="OV249" s="160"/>
      <c r="OW249" s="160"/>
      <c r="OX249" s="160"/>
      <c r="OY249" s="160"/>
      <c r="OZ249" s="160"/>
      <c r="PA249" s="160"/>
      <c r="PB249" s="160"/>
      <c r="PC249" s="160"/>
      <c r="PD249" s="160"/>
      <c r="PE249" s="160"/>
      <c r="PF249" s="160"/>
      <c r="PG249" s="160"/>
      <c r="PH249" s="160"/>
      <c r="PI249" s="160"/>
      <c r="PJ249" s="160"/>
      <c r="PK249" s="160"/>
      <c r="PL249" s="160"/>
      <c r="PM249" s="160"/>
      <c r="PN249" s="160"/>
      <c r="PO249" s="160"/>
      <c r="PP249" s="160"/>
      <c r="PQ249" s="160"/>
      <c r="PR249" s="160"/>
      <c r="PS249" s="160"/>
      <c r="PT249" s="160"/>
      <c r="PU249" s="160"/>
      <c r="PV249" s="160"/>
      <c r="PW249" s="160"/>
      <c r="PX249" s="160"/>
      <c r="PY249" s="160"/>
      <c r="PZ249" s="160"/>
      <c r="QA249" s="160"/>
      <c r="QB249" s="160"/>
      <c r="QC249" s="160"/>
      <c r="QD249" s="160"/>
      <c r="QE249" s="160"/>
      <c r="QF249" s="160"/>
      <c r="QG249" s="160"/>
      <c r="QH249" s="160"/>
      <c r="QI249" s="160"/>
      <c r="QJ249" s="160"/>
      <c r="QK249" s="160"/>
      <c r="QL249" s="160"/>
      <c r="QM249" s="160"/>
      <c r="QN249" s="160"/>
      <c r="QO249" s="160"/>
      <c r="QP249" s="160"/>
      <c r="QQ249" s="160"/>
      <c r="QR249" s="160"/>
      <c r="QS249" s="160"/>
      <c r="QT249" s="160"/>
      <c r="QU249" s="160"/>
      <c r="QV249" s="160"/>
      <c r="QW249" s="160"/>
      <c r="QX249" s="160"/>
      <c r="QY249" s="160"/>
      <c r="QZ249" s="160"/>
      <c r="RA249" s="160"/>
      <c r="RB249" s="160"/>
      <c r="RC249" s="160"/>
      <c r="RD249" s="160"/>
      <c r="RE249" s="160"/>
      <c r="RF249" s="160"/>
      <c r="RG249" s="160"/>
      <c r="RH249" s="160"/>
      <c r="RI249" s="160"/>
      <c r="RJ249" s="160"/>
      <c r="RK249" s="160"/>
      <c r="RL249" s="160"/>
      <c r="RM249" s="160"/>
      <c r="RN249" s="160"/>
      <c r="RO249" s="160"/>
      <c r="RP249" s="160"/>
      <c r="RQ249" s="160"/>
      <c r="RR249" s="160"/>
      <c r="RS249" s="160"/>
      <c r="RT249" s="160"/>
      <c r="RU249" s="160"/>
      <c r="RV249" s="160"/>
      <c r="RW249" s="160"/>
      <c r="RX249" s="160"/>
      <c r="RY249" s="160"/>
      <c r="RZ249" s="160"/>
      <c r="SA249" s="160"/>
      <c r="SB249" s="160"/>
      <c r="SC249" s="160"/>
      <c r="SD249" s="160"/>
      <c r="SE249" s="160"/>
      <c r="SF249" s="160"/>
      <c r="SG249" s="160"/>
      <c r="SH249" s="160"/>
      <c r="SI249" s="160"/>
      <c r="SJ249" s="160"/>
      <c r="SK249" s="160"/>
      <c r="SL249" s="160"/>
      <c r="SM249" s="160"/>
      <c r="SN249" s="160"/>
      <c r="SO249" s="160"/>
      <c r="SP249" s="160"/>
      <c r="SQ249" s="160"/>
      <c r="SR249" s="160"/>
      <c r="SS249" s="160"/>
      <c r="ST249" s="160"/>
      <c r="SU249" s="160"/>
      <c r="SV249" s="160"/>
      <c r="SW249" s="160"/>
      <c r="SX249" s="160"/>
      <c r="SY249" s="160"/>
      <c r="SZ249" s="160"/>
      <c r="TA249" s="160"/>
      <c r="TB249" s="160"/>
      <c r="TC249" s="160"/>
      <c r="TD249" s="160"/>
      <c r="TE249" s="160"/>
      <c r="TF249" s="160"/>
      <c r="TG249" s="160"/>
      <c r="TH249" s="160"/>
      <c r="TI249" s="160"/>
      <c r="TJ249" s="160"/>
      <c r="TK249" s="160"/>
      <c r="TL249" s="160"/>
      <c r="TM249" s="160"/>
      <c r="TN249" s="160"/>
      <c r="TO249" s="160"/>
      <c r="TP249" s="160"/>
      <c r="TQ249" s="160"/>
      <c r="TR249" s="160"/>
      <c r="TS249" s="160"/>
      <c r="TT249" s="160"/>
      <c r="TU249" s="160"/>
      <c r="TV249" s="160"/>
      <c r="TW249" s="160"/>
      <c r="TX249" s="160"/>
      <c r="TY249" s="160"/>
      <c r="TZ249" s="160"/>
      <c r="UA249" s="160"/>
      <c r="UB249" s="160"/>
      <c r="UC249" s="160"/>
      <c r="UD249" s="160"/>
      <c r="UE249" s="160"/>
      <c r="UF249" s="160"/>
      <c r="UG249" s="160"/>
      <c r="UH249" s="160"/>
      <c r="UI249" s="160"/>
      <c r="UJ249" s="160"/>
      <c r="UK249" s="160"/>
      <c r="UL249" s="160"/>
      <c r="UM249" s="160"/>
      <c r="UN249" s="160"/>
      <c r="UO249" s="160"/>
      <c r="UP249" s="160"/>
      <c r="UQ249" s="160"/>
      <c r="UR249" s="160"/>
      <c r="US249" s="160"/>
      <c r="UT249" s="160"/>
      <c r="UU249" s="160"/>
      <c r="UV249" s="160"/>
      <c r="UW249" s="160"/>
      <c r="UX249" s="160"/>
      <c r="UY249" s="160"/>
      <c r="UZ249" s="160"/>
      <c r="VA249" s="160"/>
      <c r="VB249" s="160"/>
      <c r="VC249" s="160"/>
      <c r="VD249" s="160"/>
      <c r="VE249" s="160"/>
      <c r="VF249" s="160"/>
      <c r="VG249" s="160"/>
      <c r="VH249" s="160"/>
      <c r="VI249" s="160"/>
      <c r="VJ249" s="160"/>
      <c r="VK249" s="160"/>
      <c r="VL249" s="160"/>
      <c r="VM249" s="160"/>
      <c r="VN249" s="160"/>
      <c r="VO249" s="160"/>
      <c r="VP249" s="160"/>
      <c r="VQ249" s="160"/>
      <c r="VR249" s="160"/>
      <c r="VS249" s="160"/>
      <c r="VT249" s="160"/>
      <c r="VU249" s="160"/>
      <c r="VV249" s="160"/>
      <c r="VW249" s="160"/>
      <c r="VX249" s="160"/>
      <c r="VY249" s="160"/>
      <c r="VZ249" s="160"/>
      <c r="WA249" s="160"/>
      <c r="WB249" s="160"/>
      <c r="WC249" s="160"/>
      <c r="WD249" s="160"/>
      <c r="WE249" s="160"/>
      <c r="WF249" s="160"/>
      <c r="WG249" s="160"/>
      <c r="WH249" s="160"/>
      <c r="WI249" s="160"/>
      <c r="WJ249" s="160"/>
      <c r="WK249" s="160"/>
      <c r="WL249" s="160"/>
      <c r="WM249" s="160"/>
      <c r="WN249" s="160"/>
      <c r="WO249" s="160"/>
      <c r="WP249" s="160"/>
      <c r="WQ249" s="160"/>
      <c r="WR249" s="160"/>
      <c r="WS249" s="160"/>
      <c r="WT249" s="160"/>
      <c r="WU249" s="160"/>
      <c r="WV249" s="160"/>
      <c r="WW249" s="160"/>
      <c r="WX249" s="160"/>
      <c r="WY249" s="160"/>
      <c r="WZ249" s="160"/>
      <c r="XA249" s="160"/>
      <c r="XB249" s="160"/>
      <c r="XC249" s="160"/>
      <c r="XD249" s="160"/>
      <c r="XE249" s="160"/>
      <c r="XF249" s="160"/>
      <c r="XG249" s="160"/>
      <c r="XH249" s="160"/>
      <c r="XI249" s="160"/>
      <c r="XJ249" s="160"/>
      <c r="XK249" s="160"/>
      <c r="XL249" s="160"/>
      <c r="XM249" s="160"/>
      <c r="XN249" s="160"/>
      <c r="XO249" s="160"/>
      <c r="XP249" s="160"/>
      <c r="XQ249" s="160"/>
      <c r="XR249" s="160"/>
      <c r="XS249" s="160"/>
      <c r="XT249" s="160"/>
      <c r="XU249" s="160"/>
      <c r="XV249" s="160"/>
      <c r="XW249" s="160"/>
      <c r="XX249" s="160"/>
      <c r="XY249" s="160"/>
      <c r="XZ249" s="160"/>
      <c r="YA249" s="160"/>
      <c r="YB249" s="160"/>
      <c r="YC249" s="160"/>
      <c r="YD249" s="160"/>
      <c r="YE249" s="160"/>
      <c r="YF249" s="160"/>
      <c r="YG249" s="160"/>
      <c r="YH249" s="160"/>
      <c r="YI249" s="160"/>
      <c r="YJ249" s="160"/>
      <c r="YK249" s="160"/>
      <c r="YL249" s="160"/>
      <c r="YM249" s="160"/>
      <c r="YN249" s="160"/>
      <c r="YO249" s="160"/>
      <c r="YP249" s="160"/>
      <c r="YQ249" s="160"/>
      <c r="YR249" s="160"/>
      <c r="YS249" s="160"/>
      <c r="YT249" s="160"/>
      <c r="YU249" s="160"/>
      <c r="YV249" s="160"/>
      <c r="YW249" s="160"/>
      <c r="YX249" s="160"/>
      <c r="YY249" s="160"/>
      <c r="YZ249" s="160"/>
      <c r="ZA249" s="160"/>
      <c r="ZB249" s="160"/>
      <c r="ZC249" s="160"/>
      <c r="ZD249" s="160"/>
      <c r="ZE249" s="160"/>
      <c r="ZF249" s="160"/>
      <c r="ZG249" s="160"/>
      <c r="ZH249" s="160"/>
      <c r="ZI249" s="160"/>
      <c r="ZJ249" s="160"/>
      <c r="ZK249" s="160"/>
      <c r="ZL249" s="160"/>
      <c r="ZM249" s="160"/>
      <c r="ZN249" s="160"/>
      <c r="ZO249" s="160"/>
      <c r="ZP249" s="160"/>
      <c r="ZQ249" s="160"/>
      <c r="ZR249" s="160"/>
      <c r="ZS249" s="160"/>
      <c r="ZT249" s="160"/>
      <c r="ZU249" s="160"/>
      <c r="ZV249" s="160"/>
      <c r="ZW249" s="160"/>
      <c r="ZX249" s="160"/>
      <c r="ZY249" s="160"/>
      <c r="ZZ249" s="160"/>
      <c r="AAA249" s="160"/>
      <c r="AAB249" s="160"/>
      <c r="AAC249" s="160"/>
      <c r="AAD249" s="160"/>
      <c r="AAE249" s="160"/>
      <c r="AAF249" s="160"/>
      <c r="AAG249" s="160"/>
      <c r="AAH249" s="160"/>
      <c r="AAI249" s="160"/>
      <c r="AAJ249" s="160"/>
      <c r="AAK249" s="160"/>
      <c r="AAL249" s="160"/>
      <c r="AAM249" s="160"/>
      <c r="AAN249" s="160"/>
      <c r="AAO249" s="160"/>
      <c r="AAP249" s="160"/>
      <c r="AAQ249" s="160"/>
      <c r="AAR249" s="160"/>
      <c r="AAS249" s="160"/>
      <c r="AAT249" s="160"/>
      <c r="AAU249" s="160"/>
      <c r="AAV249" s="160"/>
      <c r="AAW249" s="160"/>
      <c r="AAX249" s="160"/>
      <c r="AAY249" s="160"/>
      <c r="AAZ249" s="160"/>
      <c r="ABA249" s="160"/>
      <c r="ABB249" s="160"/>
      <c r="ABC249" s="160"/>
      <c r="ABD249" s="160"/>
      <c r="ABE249" s="160"/>
      <c r="ABF249" s="160"/>
      <c r="ABG249" s="160"/>
      <c r="ABH249" s="160"/>
      <c r="ABI249" s="160"/>
      <c r="ABJ249" s="160"/>
      <c r="ABK249" s="160"/>
      <c r="ABL249" s="160"/>
      <c r="ABM249" s="160"/>
      <c r="ABN249" s="160"/>
      <c r="ABO249" s="160"/>
      <c r="ABP249" s="160"/>
      <c r="ABQ249" s="160"/>
      <c r="ABR249" s="160"/>
      <c r="ABS249" s="160"/>
      <c r="ABT249" s="160"/>
      <c r="ABU249" s="160"/>
      <c r="ABV249" s="160"/>
      <c r="ABW249" s="160"/>
      <c r="ABX249" s="160"/>
      <c r="ABY249" s="160"/>
      <c r="ABZ249" s="160"/>
      <c r="ACA249" s="160"/>
      <c r="ACB249" s="160"/>
      <c r="ACC249" s="160"/>
      <c r="ACD249" s="160"/>
      <c r="ACE249" s="160"/>
      <c r="ACF249" s="160"/>
      <c r="ACG249" s="160"/>
      <c r="ACH249" s="160"/>
      <c r="ACI249" s="160"/>
      <c r="ACJ249" s="160"/>
      <c r="ACK249" s="160"/>
      <c r="ACL249" s="160"/>
      <c r="ACM249" s="160"/>
      <c r="ACN249" s="160"/>
      <c r="ACO249" s="160"/>
      <c r="ACP249" s="160"/>
      <c r="ACQ249" s="160"/>
      <c r="ACR249" s="160"/>
      <c r="ACS249" s="160"/>
      <c r="ACT249" s="160"/>
      <c r="ACU249" s="160"/>
      <c r="ACV249" s="160"/>
      <c r="ACW249" s="160"/>
      <c r="ACX249" s="160"/>
      <c r="ACY249" s="160"/>
      <c r="ACZ249" s="160"/>
      <c r="ADA249" s="160"/>
      <c r="ADB249" s="160"/>
      <c r="ADC249" s="160"/>
      <c r="ADD249" s="160"/>
      <c r="ADE249" s="160"/>
      <c r="ADF249" s="160"/>
    </row>
    <row r="250" spans="1:786" s="32" customFormat="1" ht="30" x14ac:dyDescent="0.3">
      <c r="B250" s="214"/>
      <c r="C250" s="160"/>
      <c r="D250" s="215"/>
      <c r="E250" s="214"/>
      <c r="F250" s="214"/>
      <c r="G250" s="214"/>
      <c r="H250" s="214"/>
      <c r="I250" s="214"/>
      <c r="J250" s="214"/>
      <c r="K250" s="214"/>
      <c r="L250" s="214"/>
      <c r="M250" s="139">
        <f>L248</f>
        <v>0</v>
      </c>
      <c r="N250" s="214"/>
      <c r="O250" s="214"/>
      <c r="P250" s="214"/>
    </row>
    <row r="251" spans="1:786" s="32" customFormat="1" x14ac:dyDescent="0.3">
      <c r="B251" s="214"/>
      <c r="C251" s="160"/>
      <c r="D251" s="215"/>
      <c r="E251" s="214"/>
      <c r="F251" s="214"/>
      <c r="G251" s="214"/>
      <c r="H251" s="214"/>
      <c r="I251" s="214"/>
      <c r="J251" s="214"/>
      <c r="K251" s="214"/>
      <c r="L251" s="214"/>
      <c r="M251" s="214"/>
      <c r="N251" s="214"/>
      <c r="O251" s="214"/>
      <c r="P251" s="214"/>
    </row>
    <row r="252" spans="1:786" s="32" customFormat="1" x14ac:dyDescent="0.3">
      <c r="B252" s="214"/>
      <c r="C252" s="160"/>
      <c r="D252" s="215"/>
      <c r="E252" s="214"/>
      <c r="F252" s="214"/>
      <c r="G252" s="214"/>
      <c r="H252" s="214"/>
      <c r="I252" s="214"/>
      <c r="J252" s="214"/>
      <c r="K252" s="214"/>
      <c r="L252" s="214"/>
      <c r="M252" s="214"/>
      <c r="N252" s="214"/>
      <c r="O252" s="214"/>
      <c r="P252" s="214"/>
    </row>
    <row r="253" spans="1:786" s="32" customFormat="1" ht="168.75" customHeight="1" x14ac:dyDescent="0.3">
      <c r="B253" s="214"/>
      <c r="C253" s="216" t="s">
        <v>486</v>
      </c>
      <c r="D253" s="215"/>
      <c r="E253" s="214"/>
      <c r="F253" s="214"/>
      <c r="G253" s="217" t="s">
        <v>487</v>
      </c>
      <c r="H253" s="214"/>
      <c r="I253" s="214"/>
      <c r="J253" s="214"/>
      <c r="K253" s="214"/>
      <c r="L253" s="214"/>
      <c r="M253" s="214"/>
      <c r="N253" s="214"/>
      <c r="O253" s="214"/>
      <c r="P253" s="214"/>
      <c r="Q253" s="220">
        <v>2025</v>
      </c>
      <c r="R253" s="220" t="s">
        <v>531</v>
      </c>
      <c r="S253" s="220" t="s">
        <v>532</v>
      </c>
    </row>
    <row r="254" spans="1:786" s="32" customFormat="1" ht="18" customHeight="1" x14ac:dyDescent="0.3">
      <c r="B254" s="214"/>
      <c r="C254" s="160"/>
      <c r="D254" s="215"/>
      <c r="E254" s="214"/>
      <c r="F254" s="442" t="s">
        <v>496</v>
      </c>
      <c r="G254" s="224"/>
      <c r="H254" s="224"/>
      <c r="I254" s="224"/>
      <c r="J254" s="224"/>
      <c r="K254" s="442" t="s">
        <v>502</v>
      </c>
      <c r="L254" s="441" t="s">
        <v>495</v>
      </c>
      <c r="M254" s="441"/>
      <c r="N254" s="221"/>
      <c r="O254" s="221"/>
      <c r="P254" s="221"/>
      <c r="Q254" s="449" t="s">
        <v>509</v>
      </c>
      <c r="R254" s="445"/>
      <c r="S254" s="447"/>
    </row>
    <row r="255" spans="1:786" s="32" customFormat="1" ht="18" customHeight="1" x14ac:dyDescent="0.3">
      <c r="B255" s="214"/>
      <c r="C255" s="160"/>
      <c r="D255" s="215"/>
      <c r="E255" s="214"/>
      <c r="F255" s="443"/>
      <c r="G255" s="224"/>
      <c r="H255" s="224"/>
      <c r="I255" s="224"/>
      <c r="J255" s="224"/>
      <c r="K255" s="443"/>
      <c r="L255" s="441"/>
      <c r="M255" s="441"/>
      <c r="N255" s="221"/>
      <c r="O255" s="221"/>
      <c r="P255" s="221"/>
      <c r="Q255" s="450"/>
      <c r="R255" s="446"/>
      <c r="S255" s="448"/>
    </row>
    <row r="256" spans="1:786" s="32" customFormat="1" ht="42" customHeight="1" x14ac:dyDescent="0.45">
      <c r="B256" s="214"/>
      <c r="C256" s="160"/>
      <c r="D256" s="215"/>
      <c r="E256" s="214"/>
      <c r="F256" s="226" t="s">
        <v>515</v>
      </c>
      <c r="G256" s="233"/>
      <c r="H256" s="233"/>
      <c r="I256" s="233"/>
      <c r="J256" s="233"/>
      <c r="K256" s="232">
        <v>23520.749</v>
      </c>
      <c r="L256" s="235">
        <v>1216015</v>
      </c>
      <c r="M256" s="228" t="s">
        <v>505</v>
      </c>
      <c r="N256" s="234"/>
      <c r="O256" s="234"/>
      <c r="P256" s="234"/>
      <c r="Q256" s="244">
        <f>K184</f>
        <v>23520749</v>
      </c>
      <c r="R256" s="222"/>
      <c r="S256" s="222"/>
    </row>
    <row r="257" spans="2:19" s="32" customFormat="1" ht="48" customHeight="1" thickBot="1" x14ac:dyDescent="0.5">
      <c r="B257" s="214"/>
      <c r="C257" s="218" t="s">
        <v>488</v>
      </c>
      <c r="D257" s="215"/>
      <c r="E257" s="214"/>
      <c r="F257" s="226" t="s">
        <v>501</v>
      </c>
      <c r="G257" s="214"/>
      <c r="H257" s="214"/>
      <c r="I257" s="214"/>
      <c r="J257" s="214"/>
      <c r="K257" s="226">
        <v>500</v>
      </c>
      <c r="L257" s="370">
        <v>1216011</v>
      </c>
      <c r="M257" s="227" t="s">
        <v>497</v>
      </c>
      <c r="N257" s="228"/>
      <c r="O257" s="228"/>
      <c r="P257" s="228"/>
      <c r="Q257" s="245">
        <f>K18</f>
        <v>500000</v>
      </c>
      <c r="R257" s="222"/>
      <c r="S257" s="222"/>
    </row>
    <row r="258" spans="2:19" s="32" customFormat="1" ht="48.75" customHeight="1" thickBot="1" x14ac:dyDescent="0.5">
      <c r="B258" s="214"/>
      <c r="C258" s="219" t="s">
        <v>489</v>
      </c>
      <c r="D258" s="215"/>
      <c r="E258" s="214"/>
      <c r="F258" s="228"/>
      <c r="G258" s="214"/>
      <c r="H258" s="214"/>
      <c r="I258" s="214"/>
      <c r="J258" s="214"/>
      <c r="K258" s="228"/>
      <c r="L258" s="444"/>
      <c r="M258" s="242" t="s">
        <v>498</v>
      </c>
      <c r="N258" s="229"/>
      <c r="O258" s="229"/>
      <c r="P258" s="229"/>
      <c r="Q258" s="240">
        <f>K21</f>
        <v>20000000</v>
      </c>
      <c r="R258" s="451"/>
      <c r="S258" s="222"/>
    </row>
    <row r="259" spans="2:19" s="32" customFormat="1" ht="37.5" customHeight="1" thickBot="1" x14ac:dyDescent="0.5">
      <c r="B259" s="214"/>
      <c r="C259" s="219" t="s">
        <v>490</v>
      </c>
      <c r="D259" s="215"/>
      <c r="E259" s="214"/>
      <c r="F259" s="237" t="s">
        <v>499</v>
      </c>
      <c r="G259" s="238"/>
      <c r="H259" s="238"/>
      <c r="I259" s="238"/>
      <c r="J259" s="238"/>
      <c r="K259" s="239">
        <v>120000</v>
      </c>
      <c r="L259" s="231">
        <v>1216092</v>
      </c>
      <c r="M259" s="243" t="s">
        <v>500</v>
      </c>
      <c r="N259" s="230"/>
      <c r="O259" s="230"/>
      <c r="P259" s="230"/>
      <c r="Q259" s="241">
        <v>417000</v>
      </c>
      <c r="R259" s="451"/>
      <c r="S259" s="222"/>
    </row>
    <row r="260" spans="2:19" s="32" customFormat="1" ht="52.5" customHeight="1" x14ac:dyDescent="0.45">
      <c r="B260" s="214"/>
      <c r="C260" s="219" t="s">
        <v>491</v>
      </c>
      <c r="D260" s="215"/>
      <c r="E260" s="214"/>
      <c r="F260" s="437" t="s">
        <v>505</v>
      </c>
      <c r="G260" s="247"/>
      <c r="H260" s="247"/>
      <c r="I260" s="247"/>
      <c r="J260" s="247"/>
      <c r="K260" s="437">
        <v>60</v>
      </c>
      <c r="L260" s="439" t="s">
        <v>504</v>
      </c>
      <c r="M260" s="248" t="s">
        <v>503</v>
      </c>
      <c r="N260" s="248"/>
      <c r="O260" s="248"/>
      <c r="P260" s="248"/>
      <c r="Q260" s="249">
        <f>K87</f>
        <v>5000</v>
      </c>
      <c r="R260" s="251">
        <v>5620</v>
      </c>
      <c r="S260" s="251">
        <v>6058</v>
      </c>
    </row>
    <row r="261" spans="2:19" s="32" customFormat="1" ht="39" customHeight="1" x14ac:dyDescent="0.45">
      <c r="B261" s="214"/>
      <c r="C261" s="219" t="s">
        <v>492</v>
      </c>
      <c r="D261" s="215"/>
      <c r="E261" s="214"/>
      <c r="F261" s="438"/>
      <c r="G261" s="247"/>
      <c r="H261" s="247"/>
      <c r="I261" s="247"/>
      <c r="J261" s="247"/>
      <c r="K261" s="438"/>
      <c r="L261" s="440"/>
      <c r="M261" s="236" t="s">
        <v>506</v>
      </c>
      <c r="N261" s="236"/>
      <c r="O261" s="236"/>
      <c r="P261" s="236"/>
      <c r="Q261" s="250">
        <f>K91</f>
        <v>55000</v>
      </c>
      <c r="R261" s="251">
        <v>61820</v>
      </c>
      <c r="S261" s="251">
        <v>66642</v>
      </c>
    </row>
    <row r="262" spans="2:19" s="32" customFormat="1" ht="41.25" customHeight="1" x14ac:dyDescent="0.45">
      <c r="B262" s="214"/>
      <c r="C262" s="219" t="s">
        <v>493</v>
      </c>
      <c r="D262" s="215"/>
      <c r="E262" s="214"/>
      <c r="F262" s="70" t="s">
        <v>507</v>
      </c>
      <c r="G262" s="214"/>
      <c r="H262" s="214"/>
      <c r="I262" s="214"/>
      <c r="J262" s="214"/>
      <c r="K262" s="70">
        <v>50</v>
      </c>
      <c r="L262" s="440"/>
      <c r="M262" s="70" t="s">
        <v>508</v>
      </c>
      <c r="N262" s="70"/>
      <c r="O262" s="70"/>
      <c r="P262" s="70"/>
      <c r="Q262" s="246">
        <v>50000</v>
      </c>
      <c r="R262" s="222">
        <v>56200</v>
      </c>
      <c r="S262" s="222">
        <v>60584</v>
      </c>
    </row>
    <row r="263" spans="2:19" s="32" customFormat="1" ht="46.5" customHeight="1" x14ac:dyDescent="0.45">
      <c r="B263" s="214"/>
      <c r="C263" s="219" t="s">
        <v>494</v>
      </c>
      <c r="D263" s="215"/>
      <c r="E263" s="214"/>
      <c r="F263" s="70" t="s">
        <v>510</v>
      </c>
      <c r="G263" s="214"/>
      <c r="H263" s="214"/>
      <c r="I263" s="214"/>
      <c r="J263" s="214"/>
      <c r="K263" s="70">
        <v>84</v>
      </c>
      <c r="L263" s="371"/>
      <c r="M263" s="70" t="s">
        <v>511</v>
      </c>
      <c r="N263" s="70"/>
      <c r="O263" s="70"/>
      <c r="P263" s="70"/>
      <c r="Q263" s="246">
        <f>K97</f>
        <v>84000</v>
      </c>
      <c r="R263" s="222">
        <v>94.415999999999997</v>
      </c>
      <c r="S263" s="222">
        <v>101.78</v>
      </c>
    </row>
    <row r="264" spans="2:19" s="32" customFormat="1" ht="33" x14ac:dyDescent="0.45">
      <c r="B264" s="214"/>
      <c r="C264" s="219"/>
      <c r="D264" s="215"/>
      <c r="E264" s="214"/>
      <c r="F264" s="70" t="s">
        <v>512</v>
      </c>
      <c r="G264" s="214"/>
      <c r="H264" s="214"/>
      <c r="I264" s="214"/>
      <c r="J264" s="214"/>
      <c r="K264" s="111">
        <v>1190.33</v>
      </c>
      <c r="L264" s="225" t="s">
        <v>516</v>
      </c>
      <c r="M264" s="70" t="s">
        <v>514</v>
      </c>
      <c r="N264" s="70"/>
      <c r="O264" s="70"/>
      <c r="P264" s="70"/>
      <c r="Q264" s="246">
        <f>K88+K90+K95+K96</f>
        <v>1190325</v>
      </c>
      <c r="R264" s="222">
        <f>5620+123640+84655</f>
        <v>213915</v>
      </c>
      <c r="S264" s="222">
        <f>6058+133284+91269</f>
        <v>230611</v>
      </c>
    </row>
    <row r="265" spans="2:19" s="32" customFormat="1" ht="33" x14ac:dyDescent="0.45">
      <c r="B265" s="214"/>
      <c r="C265" s="160"/>
      <c r="D265" s="215"/>
      <c r="E265" s="214"/>
      <c r="F265" s="70" t="s">
        <v>517</v>
      </c>
      <c r="G265" s="214"/>
      <c r="H265" s="214"/>
      <c r="I265" s="214"/>
      <c r="J265" s="214"/>
      <c r="K265" s="70">
        <f>8743+2500</f>
        <v>11243</v>
      </c>
      <c r="L265" s="225" t="s">
        <v>519</v>
      </c>
      <c r="M265" s="70" t="s">
        <v>518</v>
      </c>
      <c r="N265" s="70"/>
      <c r="O265" s="70"/>
      <c r="P265" s="70"/>
      <c r="Q265" s="246">
        <f>K187+K54</f>
        <v>11243000</v>
      </c>
      <c r="R265" s="222"/>
      <c r="S265" s="222"/>
    </row>
    <row r="266" spans="2:19" s="32" customFormat="1" ht="33" x14ac:dyDescent="0.45">
      <c r="B266" s="214"/>
      <c r="C266" s="160"/>
      <c r="D266" s="215"/>
      <c r="E266" s="214"/>
      <c r="F266" s="70" t="s">
        <v>520</v>
      </c>
      <c r="G266" s="214"/>
      <c r="H266" s="214"/>
      <c r="I266" s="214"/>
      <c r="J266" s="214"/>
      <c r="K266" s="70">
        <v>25000</v>
      </c>
      <c r="L266" s="225" t="s">
        <v>521</v>
      </c>
      <c r="M266" s="70" t="s">
        <v>522</v>
      </c>
      <c r="N266" s="70"/>
      <c r="O266" s="70"/>
      <c r="P266" s="70"/>
      <c r="Q266" s="246">
        <f>K232</f>
        <v>25000000</v>
      </c>
      <c r="R266" s="222"/>
      <c r="S266" s="222"/>
    </row>
    <row r="267" spans="2:19" s="32" customFormat="1" ht="33" x14ac:dyDescent="0.45">
      <c r="B267" s="214"/>
      <c r="C267" s="160"/>
      <c r="D267" s="215"/>
      <c r="E267" s="214"/>
      <c r="F267" s="70" t="s">
        <v>523</v>
      </c>
      <c r="G267" s="214"/>
      <c r="H267" s="214"/>
      <c r="I267" s="214"/>
      <c r="J267" s="214"/>
      <c r="K267" s="70">
        <v>622</v>
      </c>
      <c r="L267" s="370" t="s">
        <v>525</v>
      </c>
      <c r="M267" s="70" t="s">
        <v>524</v>
      </c>
      <c r="N267" s="70"/>
      <c r="O267" s="70"/>
      <c r="P267" s="70"/>
      <c r="Q267" s="246">
        <f>K35</f>
        <v>622000</v>
      </c>
      <c r="R267" s="222">
        <f>L35</f>
        <v>699128.00000000012</v>
      </c>
      <c r="S267" s="222"/>
    </row>
    <row r="268" spans="2:19" ht="33" x14ac:dyDescent="0.45">
      <c r="F268" s="70" t="s">
        <v>526</v>
      </c>
      <c r="G268" s="214"/>
      <c r="H268" s="214"/>
      <c r="I268" s="214"/>
      <c r="J268" s="214"/>
      <c r="K268" s="70">
        <v>3000</v>
      </c>
      <c r="L268" s="440"/>
      <c r="M268" s="70" t="s">
        <v>515</v>
      </c>
      <c r="N268" s="70"/>
      <c r="O268" s="70"/>
      <c r="P268" s="70"/>
      <c r="Q268" s="246">
        <f>K181</f>
        <v>3000000</v>
      </c>
      <c r="R268" s="222"/>
      <c r="S268" s="222"/>
    </row>
    <row r="269" spans="2:19" ht="33" x14ac:dyDescent="0.45">
      <c r="F269" s="70" t="s">
        <v>527</v>
      </c>
      <c r="G269" s="214"/>
      <c r="H269" s="214"/>
      <c r="I269" s="214"/>
      <c r="J269" s="214"/>
      <c r="K269" s="70">
        <v>1250</v>
      </c>
      <c r="L269" s="371"/>
      <c r="M269" s="70" t="s">
        <v>528</v>
      </c>
      <c r="N269" s="70"/>
      <c r="O269" s="70"/>
      <c r="P269" s="70"/>
      <c r="Q269" s="246">
        <f>K34</f>
        <v>1250000</v>
      </c>
      <c r="R269" s="222">
        <f>L34</f>
        <v>1405000.0000000002</v>
      </c>
      <c r="S269" s="222"/>
    </row>
    <row r="270" spans="2:19" ht="33" x14ac:dyDescent="0.45">
      <c r="F270" s="70" t="s">
        <v>513</v>
      </c>
      <c r="G270" s="214"/>
      <c r="H270" s="214"/>
      <c r="I270" s="214"/>
      <c r="J270" s="214"/>
      <c r="K270" s="70">
        <v>28</v>
      </c>
      <c r="L270" s="225" t="s">
        <v>521</v>
      </c>
      <c r="M270" s="70" t="s">
        <v>529</v>
      </c>
      <c r="N270" s="70"/>
      <c r="O270" s="70"/>
      <c r="P270" s="70"/>
      <c r="Q270" s="246">
        <f>K248</f>
        <v>28000</v>
      </c>
      <c r="R270" s="222"/>
      <c r="S270" s="222"/>
    </row>
    <row r="271" spans="2:19" ht="33" x14ac:dyDescent="0.45">
      <c r="F271" s="70" t="s">
        <v>552</v>
      </c>
      <c r="G271" s="214"/>
      <c r="H271" s="214"/>
      <c r="I271" s="214"/>
      <c r="J271" s="214"/>
      <c r="K271" s="70">
        <v>83427.899999999994</v>
      </c>
      <c r="L271" s="370" t="s">
        <v>553</v>
      </c>
      <c r="M271" s="70" t="s">
        <v>554</v>
      </c>
      <c r="N271" s="70"/>
      <c r="O271" s="70"/>
      <c r="P271" s="70"/>
      <c r="Q271" s="246">
        <v>83427900</v>
      </c>
      <c r="R271" s="254"/>
      <c r="S271" s="254"/>
    </row>
    <row r="272" spans="2:19" ht="33" x14ac:dyDescent="0.45">
      <c r="F272" s="70" t="s">
        <v>506</v>
      </c>
      <c r="G272" s="214"/>
      <c r="H272" s="214"/>
      <c r="I272" s="214"/>
      <c r="J272" s="214"/>
      <c r="K272" s="70">
        <v>4492.5</v>
      </c>
      <c r="L272" s="371"/>
      <c r="M272" s="70">
        <v>45449</v>
      </c>
      <c r="N272" s="70"/>
      <c r="O272" s="70"/>
      <c r="P272" s="70"/>
      <c r="Q272" s="246">
        <v>4492512</v>
      </c>
      <c r="R272" s="254"/>
      <c r="S272" s="254"/>
    </row>
    <row r="273" spans="6:19" ht="33" x14ac:dyDescent="0.3">
      <c r="F273" s="70"/>
      <c r="G273" s="214"/>
      <c r="H273" s="214"/>
      <c r="I273" s="214"/>
      <c r="J273" s="214"/>
      <c r="K273" s="111">
        <f>SUM(K256:K271)</f>
        <v>269975.97899999999</v>
      </c>
      <c r="L273" s="225"/>
      <c r="M273" s="70"/>
      <c r="N273" s="70"/>
      <c r="O273" s="70"/>
      <c r="P273" s="70"/>
      <c r="Q273" s="253">
        <f>SUM(Q256:Q271)</f>
        <v>170392974</v>
      </c>
      <c r="R273" s="253">
        <f>SUM(R256:R271)</f>
        <v>2441777.4160000002</v>
      </c>
      <c r="S273" s="253">
        <f>SUM(S256:S271)</f>
        <v>363996.78</v>
      </c>
    </row>
    <row r="274" spans="6:19" ht="33" x14ac:dyDescent="0.45">
      <c r="F274" s="70"/>
      <c r="G274" s="214"/>
      <c r="H274" s="214"/>
      <c r="I274" s="214"/>
      <c r="J274" s="214"/>
      <c r="K274" s="70"/>
      <c r="L274" s="225"/>
      <c r="M274" s="70"/>
      <c r="N274" s="70"/>
      <c r="O274" s="70"/>
      <c r="P274" s="70"/>
      <c r="Q274" s="246"/>
      <c r="R274" s="222"/>
      <c r="S274" s="222"/>
    </row>
    <row r="275" spans="6:19" ht="33" x14ac:dyDescent="0.45">
      <c r="F275" s="70"/>
      <c r="G275" s="214"/>
      <c r="H275" s="214"/>
      <c r="I275" s="214"/>
      <c r="J275" s="214"/>
      <c r="K275" s="70"/>
      <c r="L275" s="225"/>
      <c r="M275" s="70"/>
      <c r="N275" s="70"/>
      <c r="O275" s="70"/>
      <c r="P275" s="70"/>
      <c r="Q275" s="246"/>
      <c r="R275" s="222"/>
      <c r="S275" s="222"/>
    </row>
    <row r="276" spans="6:19" ht="33" x14ac:dyDescent="0.45">
      <c r="F276" s="70"/>
      <c r="G276" s="214"/>
      <c r="H276" s="214"/>
      <c r="I276" s="214"/>
      <c r="J276" s="214"/>
      <c r="K276" s="70"/>
      <c r="L276" s="225"/>
      <c r="M276" s="70"/>
      <c r="N276" s="70"/>
      <c r="O276" s="70"/>
      <c r="P276" s="70"/>
      <c r="Q276" s="246"/>
      <c r="R276" s="222"/>
      <c r="S276" s="222"/>
    </row>
  </sheetData>
  <mergeCells count="69">
    <mergeCell ref="L267:L269"/>
    <mergeCell ref="R254:R255"/>
    <mergeCell ref="S254:S255"/>
    <mergeCell ref="Q254:Q255"/>
    <mergeCell ref="R258:R259"/>
    <mergeCell ref="F260:F261"/>
    <mergeCell ref="K260:K261"/>
    <mergeCell ref="L260:L263"/>
    <mergeCell ref="A244:P244"/>
    <mergeCell ref="A247:P247"/>
    <mergeCell ref="L254:M255"/>
    <mergeCell ref="K254:K255"/>
    <mergeCell ref="L257:L258"/>
    <mergeCell ref="F254:F255"/>
    <mergeCell ref="A235:A243"/>
    <mergeCell ref="A186:P186"/>
    <mergeCell ref="A187:A190"/>
    <mergeCell ref="A192:P192"/>
    <mergeCell ref="A193:A194"/>
    <mergeCell ref="A196:P196"/>
    <mergeCell ref="A197:A203"/>
    <mergeCell ref="A205:P205"/>
    <mergeCell ref="A206:A222"/>
    <mergeCell ref="A224:P224"/>
    <mergeCell ref="A225:A229"/>
    <mergeCell ref="A234:P234"/>
    <mergeCell ref="A183:P183"/>
    <mergeCell ref="A150:P150"/>
    <mergeCell ref="A153:P153"/>
    <mergeCell ref="A154:A156"/>
    <mergeCell ref="A158:P158"/>
    <mergeCell ref="A163:G163"/>
    <mergeCell ref="A164:A169"/>
    <mergeCell ref="A171:G171"/>
    <mergeCell ref="A173:G173"/>
    <mergeCell ref="A174:A176"/>
    <mergeCell ref="A177:G177"/>
    <mergeCell ref="A180:P180"/>
    <mergeCell ref="N66:N70"/>
    <mergeCell ref="A128:A149"/>
    <mergeCell ref="P66:P70"/>
    <mergeCell ref="A71:A83"/>
    <mergeCell ref="A86:P86"/>
    <mergeCell ref="A87:A107"/>
    <mergeCell ref="J98:J101"/>
    <mergeCell ref="J103:J107"/>
    <mergeCell ref="N103:N107"/>
    <mergeCell ref="P103:P107"/>
    <mergeCell ref="A111:P111"/>
    <mergeCell ref="A112:A113"/>
    <mergeCell ref="A115:P115"/>
    <mergeCell ref="A116:A125"/>
    <mergeCell ref="A127:G127"/>
    <mergeCell ref="L271:L272"/>
    <mergeCell ref="A27:P27"/>
    <mergeCell ref="A1:P1"/>
    <mergeCell ref="A8:P8"/>
    <mergeCell ref="A9:P9"/>
    <mergeCell ref="A17:P17"/>
    <mergeCell ref="A18:A23"/>
    <mergeCell ref="A28:A31"/>
    <mergeCell ref="A33:P33"/>
    <mergeCell ref="A34:A37"/>
    <mergeCell ref="A39:P39"/>
    <mergeCell ref="A40:A70"/>
    <mergeCell ref="J61:J65"/>
    <mergeCell ref="N61:N65"/>
    <mergeCell ref="P61:P65"/>
    <mergeCell ref="J66:J70"/>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2</vt:i4>
      </vt:variant>
    </vt:vector>
  </HeadingPairs>
  <TitlesOfParts>
    <vt:vector size="4" baseType="lpstr">
      <vt:lpstr>Дод_2</vt:lpstr>
      <vt:lpstr>Б-т 2025</vt:lpstr>
      <vt:lpstr>Дод_2!Заголовки_для_печати</vt:lpstr>
      <vt:lpstr>Дод_2!Область_печати</vt:lpstr>
    </vt:vector>
  </TitlesOfParts>
  <Company>MoBIL GROUP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Ольга</dc:creator>
  <cp:lastModifiedBy>org301</cp:lastModifiedBy>
  <cp:lastPrinted>2024-11-25T08:52:12Z</cp:lastPrinted>
  <dcterms:created xsi:type="dcterms:W3CDTF">2015-09-18T08:05:20Z</dcterms:created>
  <dcterms:modified xsi:type="dcterms:W3CDTF">2024-11-27T13:13:52Z</dcterms:modified>
</cp:coreProperties>
</file>